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autoCompressPictures="0"/>
  <mc:AlternateContent xmlns:mc="http://schemas.openxmlformats.org/markup-compatibility/2006">
    <mc:Choice Requires="x15">
      <x15ac:absPath xmlns:x15ac="http://schemas.microsoft.com/office/spreadsheetml/2010/11/ac" url="C:\Users\billr\Documents\ENVIRONMENTAL\COBALT\"/>
    </mc:Choice>
  </mc:AlternateContent>
  <xr:revisionPtr revIDLastSave="0" documentId="8_{D328B1C5-FADF-4136-A525-6FF928E9509C}"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8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C5" i="5" s="1"/>
  <c r="B2500" i="5"/>
  <c r="C2500" i="5"/>
  <c r="AB2500" i="5"/>
  <c r="V2500" i="5"/>
  <c r="E2500" i="5"/>
  <c r="X2500" i="5" s="1"/>
  <c r="T2500" i="5"/>
  <c r="S2500" i="5"/>
  <c r="R2500" i="5"/>
  <c r="J2500" i="5"/>
  <c r="I2500" i="5"/>
  <c r="H2500" i="5"/>
  <c r="G2500" i="5"/>
  <c r="F2500" i="5"/>
  <c r="B54" i="6"/>
  <c r="B53" i="6"/>
  <c r="G53" i="6" s="1"/>
  <c r="P27" i="4"/>
  <c r="P26" i="4"/>
  <c r="G54" i="6"/>
  <c r="B58" i="6"/>
  <c r="G58" i="6" s="1"/>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s="1"/>
  <c r="B48" i="6"/>
  <c r="G48" i="6" s="1"/>
  <c r="B46" i="6"/>
  <c r="G46" i="6"/>
  <c r="B45" i="6"/>
  <c r="G45" i="6"/>
  <c r="B44" i="6"/>
  <c r="G44" i="6"/>
  <c r="B43" i="6"/>
  <c r="G43" i="6" s="1"/>
  <c r="B41" i="6"/>
  <c r="G41" i="6"/>
  <c r="B40" i="6"/>
  <c r="G40" i="6"/>
  <c r="H40" i="6" s="1"/>
  <c r="D40" i="6" s="1"/>
  <c r="B39" i="6"/>
  <c r="G39" i="6"/>
  <c r="B38" i="6"/>
  <c r="G38" i="6" s="1"/>
  <c r="B36" i="6"/>
  <c r="G36" i="6"/>
  <c r="B35" i="6"/>
  <c r="G35" i="6"/>
  <c r="B34" i="6"/>
  <c r="G34" i="6"/>
  <c r="B33" i="6"/>
  <c r="G33" i="6" s="1"/>
  <c r="B31" i="6"/>
  <c r="G31" i="6"/>
  <c r="B30" i="6"/>
  <c r="G30" i="6"/>
  <c r="B29" i="6"/>
  <c r="G29" i="6"/>
  <c r="H29" i="6"/>
  <c r="D29" i="6"/>
  <c r="B28" i="6"/>
  <c r="G28" i="6" s="1"/>
  <c r="B26" i="6"/>
  <c r="G26" i="6"/>
  <c r="B18" i="6"/>
  <c r="F26" i="6"/>
  <c r="B25" i="6"/>
  <c r="G25" i="6"/>
  <c r="B24" i="6"/>
  <c r="G24" i="6"/>
  <c r="B23" i="6"/>
  <c r="G23" i="6" s="1"/>
  <c r="H23" i="6" s="1"/>
  <c r="D23" i="6" s="1"/>
  <c r="B17" i="6"/>
  <c r="F25" i="6"/>
  <c r="B16" i="6"/>
  <c r="B15" i="6"/>
  <c r="H14" i="6"/>
  <c r="B13" i="6"/>
  <c r="G13" i="6"/>
  <c r="H13" i="6" s="1"/>
  <c r="D13" i="6" s="1"/>
  <c r="B12" i="6"/>
  <c r="G12" i="6"/>
  <c r="H12" i="6" s="1"/>
  <c r="D12" i="6" s="1"/>
  <c r="B11" i="6"/>
  <c r="G11" i="6" s="1"/>
  <c r="H11" i="6" s="1"/>
  <c r="D11" i="6" s="1"/>
  <c r="B10" i="6"/>
  <c r="G10" i="6"/>
  <c r="H10" i="6" s="1"/>
  <c r="D10" i="6" s="1"/>
  <c r="B9" i="6"/>
  <c r="G9" i="6" s="1"/>
  <c r="H9" i="6" s="1"/>
  <c r="D9" i="6" s="1"/>
  <c r="B8" i="6"/>
  <c r="G8" i="6"/>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H63" i="6"/>
  <c r="S13" i="5"/>
  <c r="S10" i="5"/>
  <c r="S15" i="5"/>
  <c r="S9" i="5"/>
  <c r="S16" i="5"/>
  <c r="S12" i="5"/>
  <c r="H64" i="6"/>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E8" i="5"/>
  <c r="X8" i="5" s="1"/>
  <c r="G981" i="5"/>
  <c r="J1269" i="5"/>
  <c r="I2306" i="5"/>
  <c r="H1756" i="5"/>
  <c r="E2228" i="5"/>
  <c r="X2228" i="5" s="1"/>
  <c r="J925" i="5"/>
  <c r="J677" i="5"/>
  <c r="J149" i="5"/>
  <c r="E605" i="5"/>
  <c r="X605" i="5" s="1"/>
  <c r="E637" i="5"/>
  <c r="X637" i="5" s="1"/>
  <c r="G6"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AB2498" i="5"/>
  <c r="H21" i="6"/>
  <c r="D21" i="6" s="1"/>
  <c r="G5" i="6"/>
  <c r="H5" i="6" s="1"/>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F48" i="6"/>
  <c r="F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F34" i="6"/>
  <c r="H34" i="6" s="1"/>
  <c r="D34" i="6" s="1"/>
  <c r="F33" i="6"/>
  <c r="F61" i="6"/>
  <c r="F28" i="6"/>
  <c r="F38" i="6"/>
  <c r="S5" i="5"/>
  <c r="H28" i="6" l="1"/>
  <c r="D28" i="6" s="1"/>
  <c r="G63" i="6"/>
  <c r="AB5" i="5"/>
  <c r="G64" i="6"/>
  <c r="X5" i="5"/>
  <c r="G65" i="6" s="1"/>
  <c r="V5" i="5"/>
  <c r="G5" i="5" s="1"/>
  <c r="F65" i="6"/>
  <c r="C65" i="6" s="1"/>
  <c r="H53" i="6"/>
  <c r="H43" i="6"/>
  <c r="H38" i="6"/>
  <c r="H33" i="6"/>
  <c r="D33" i="6" s="1"/>
  <c r="C13" i="6"/>
  <c r="C12" i="6"/>
  <c r="C11" i="6"/>
  <c r="C10" i="6"/>
  <c r="C9" i="6"/>
  <c r="C8" i="6"/>
  <c r="C7" i="6"/>
  <c r="C2" i="6"/>
  <c r="H60" i="6"/>
  <c r="D60" i="6" s="1"/>
  <c r="C6" i="6"/>
  <c r="C5" i="6"/>
  <c r="C4" i="6"/>
  <c r="B57" i="4"/>
  <c r="A39" i="6" s="1"/>
  <c r="A24" i="6"/>
  <c r="B75" i="4"/>
  <c r="A54" i="6" s="1"/>
  <c r="B63" i="4"/>
  <c r="A44" i="6" s="1"/>
  <c r="C40" i="6"/>
  <c r="B64" i="4"/>
  <c r="A45" i="6" s="1"/>
  <c r="B2" i="6"/>
  <c r="C24" i="6"/>
  <c r="F50" i="6"/>
  <c r="H50" i="6" s="1"/>
  <c r="D50" i="6" s="1"/>
  <c r="D16" i="6"/>
  <c r="K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33" i="6"/>
  <c r="C28" i="6"/>
  <c r="G68" i="4"/>
  <c r="G37" i="4"/>
  <c r="G55" i="4"/>
  <c r="G49" i="4"/>
  <c r="D31" i="4"/>
  <c r="B59" i="4"/>
  <c r="A41" i="6" s="1"/>
  <c r="B47" i="4"/>
  <c r="A31" i="6" s="1"/>
  <c r="D68" i="4"/>
  <c r="B62" i="4"/>
  <c r="A43" i="6" s="1"/>
  <c r="B50" i="4"/>
  <c r="A33" i="6" s="1"/>
  <c r="B44" i="4"/>
  <c r="A28" i="6" s="1"/>
  <c r="B74" i="4"/>
  <c r="A53" i="6" s="1"/>
  <c r="D49" i="4"/>
  <c r="G61" i="4"/>
  <c r="J5" i="5" l="1"/>
  <c r="H5" i="5"/>
  <c r="I5" i="5"/>
  <c r="R5" i="5"/>
  <c r="F5" i="5"/>
  <c r="H65" i="6"/>
  <c r="G62" i="6"/>
  <c r="H62" i="6" s="1"/>
  <c r="G61" i="6"/>
  <c r="H61" i="6" s="1"/>
  <c r="C60" i="6"/>
  <c r="D49" i="6"/>
  <c r="F51" i="6"/>
  <c r="H51" i="6" s="1"/>
  <c r="D51" i="6" s="1"/>
  <c r="C50" i="6"/>
  <c r="C55" i="6"/>
  <c r="D59" i="6"/>
  <c r="C59" i="6"/>
  <c r="C48" i="6"/>
  <c r="D48" i="6"/>
  <c r="D56" i="6"/>
  <c r="C56" i="6"/>
  <c r="C58" i="6"/>
  <c r="D58" i="6"/>
  <c r="D54" i="6"/>
  <c r="C54" i="6"/>
  <c r="T5" i="5"/>
  <c r="C61" i="6" l="1"/>
  <c r="D61" i="6"/>
  <c r="D62" i="6"/>
  <c r="C62" i="6"/>
  <c r="C51" i="6"/>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<sst xmlns="http://schemas.openxmlformats.org/spreadsheetml/2006/main" count="16830" uniqueCount="14445">
  <si>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</si>
  <si>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</si>
  <si>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</si>
  <si>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</si>
  <si>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</si>
  <si>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</si>
  <si>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</si>
  <si>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</si>
  <si>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</si>
  <si>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</si>
  <si>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</si>
  <si>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</si>
  <si>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</si>
  <si>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</si>
  <si>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</si>
  <si>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</si>
  <si>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</si>
  <si>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</si>
  <si>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</si>
  <si>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</si>
  <si>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</si>
  <si>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</si>
  <si>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</si>
  <si>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</si>
  <si>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</si>
  <si>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</si>
  <si>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</si>
  <si>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</si>
  <si>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</si>
  <si>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</si>
  <si>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</si>
  <si>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</si>
  <si>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</si>
  <si>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</si>
  <si>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</si>
  <si>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</si>
  <si>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</si>
  <si>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</si>
  <si>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</si>
  <si>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</si>
  <si>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</si>
  <si>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</si>
  <si>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</si>
  <si>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</si>
  <si>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</si>
  <si>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</si>
  <si>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</si>
  <si>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</si>
  <si>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</si>
  <si>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</si>
  <si>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</si>
  <si>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</si>
  <si>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</si>
  <si>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</si>
  <si>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</si>
  <si>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</si>
  <si>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</si>
  <si>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</si>
  <si>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</si>
  <si>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</si>
  <si>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</si>
  <si>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</si>
  <si>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</si>
  <si>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</si>
  <si>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</si>
  <si>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</si>
  <si>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</si>
  <si>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</si>
  <si>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</si>
  <si>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</si>
  <si>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</si>
  <si>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</si>
  <si>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</si>
  <si>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</si>
  <si>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</si>
  <si>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</si>
  <si>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</si>
  <si>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</si>
  <si>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</si>
  <si>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</si>
  <si>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</si>
  <si>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</si>
  <si>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</si>
  <si>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</si>
  <si>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</si>
  <si>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</si>
  <si>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</si>
  <si>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</si>
  <si>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</si>
  <si>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</si>
  <si>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</si>
  <si>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</si>
  <si>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</si>
  <si>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</si>
  <si>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</si>
  <si>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</si>
  <si>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</si>
  <si>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</si>
  <si>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</si>
  <si>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</si>
  <si>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</si>
  <si>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</si>
  <si>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</si>
  <si>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</si>
  <si>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</si>
  <si>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</si>
  <si>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</si>
  <si>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</si>
  <si>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</si>
  <si>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</si>
  <si>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</si>
  <si>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</si>
  <si>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</si>
  <si>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</si>
  <si>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</si>
  <si>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</si>
  <si>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</si>
  <si>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</si>
  <si>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</si>
  <si>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</si>
  <si>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</si>
  <si>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</si>
  <si>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</si>
  <si>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</si>
  <si>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</si>
  <si>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</si>
  <si>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</si>
  <si>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</si>
  <si>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</si>
  <si>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</si>
  <si>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</si>
  <si>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</si>
  <si>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</si>
  <si>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</si>
  <si>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</si>
  <si>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</si>
  <si>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</si>
  <si>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</si>
  <si>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</si>
  <si>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</si>
  <si>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</si>
  <si>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</si>
  <si>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</si>
  <si>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</si>
  <si>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</si>
  <si>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</si>
  <si>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</si>
  <si>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</si>
  <si>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</si>
  <si>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</si>
  <si>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</si>
  <si>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</si>
  <si>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</si>
  <si>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</si>
  <si>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</si>
  <si>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</si>
  <si>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</si>
  <si>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</si>
  <si>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</si>
  <si>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</si>
  <si>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</si>
  <si>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</si>
  <si>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</si>
  <si>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</si>
  <si>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</si>
  <si>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</si>
  <si>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</si>
  <si>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</si>
  <si>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</si>
  <si>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</si>
  <si>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</si>
  <si>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</si>
  <si>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</si>
  <si>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</si>
  <si>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</si>
  <si>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</si>
  <si>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</si>
  <si>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</si>
  <si>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</si>
  <si>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</si>
  <si>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</si>
  <si>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</si>
  <si>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</si>
  <si>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</si>
  <si>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</si>
  <si>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</si>
  <si>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</si>
  <si>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</si>
  <si>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</si>
  <si>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</si>
  <si>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</si>
  <si>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</si>
  <si>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</si>
  <si>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</si>
  <si>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</si>
  <si>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</si>
  <si>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</si>
  <si>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</si>
  <si>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</si>
  <si>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</si>
  <si>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</si>
  <si>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</si>
  <si>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</si>
  <si>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</si>
  <si>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</si>
  <si>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</si>
  <si>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</si>
  <si>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</si>
  <si>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</si>
  <si>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</si>
  <si>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</si>
  <si>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</si>
  <si>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</si>
  <si>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</si>
  <si>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</si>
  <si>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</si>
  <si>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</si>
  <si>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</si>
  <si>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</si>
  <si>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</si>
  <si>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</si>
  <si>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</si>
  <si>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</si>
  <si>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</si>
  <si>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</si>
  <si>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</si>
  <si>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</si>
  <si>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</si>
  <si>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</si>
  <si>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</si>
  <si>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</si>
  <si>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</si>
  <si>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</si>
  <si>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</si>
  <si>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</si>
  <si>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</si>
  <si>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</si>
  <si>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</si>
  <si>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</si>
  <si>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</si>
  <si>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</si>
  <si>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</si>
  <si>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</si>
  <si>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</si>
  <si>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</si>
  <si>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</si>
  <si>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</si>
  <si>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</si>
  <si>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</si>
  <si>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</si>
  <si>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</si>
  <si>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</si>
  <si>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</si>
  <si>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</si>
  <si>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</si>
  <si>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</si>
  <si>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</si>
  <si>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</si>
  <si>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</si>
  <si>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</si>
  <si>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</si>
  <si>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</si>
  <si>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</si>
  <si>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</si>
  <si>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</si>
  <si>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</si>
  <si>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</si>
  <si>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</si>
  <si>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</si>
  <si>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</si>
  <si>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</si>
  <si>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</si>
  <si>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</si>
  <si>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</si>
  <si>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</si>
  <si>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</si>
  <si>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</si>
  <si>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</si>
  <si>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</si>
  <si>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</si>
  <si>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</si>
  <si>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</si>
  <si>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</si>
  <si>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</si>
  <si>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</si>
  <si>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</si>
  <si>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</si>
  <si>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</si>
  <si>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</si>
  <si>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</si>
  <si>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</si>
  <si>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</si>
  <si>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</si>
  <si>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</si>
  <si>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</si>
  <si>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</si>
  <si>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</si>
  <si>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</si>
  <si>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</si>
  <si>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</si>
  <si>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</si>
  <si>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</si>
  <si>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</si>
  <si>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</si>
  <si>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</si>
  <si>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</si>
  <si>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</si>
  <si>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</si>
  <si>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</si>
  <si>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</si>
  <si>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</si>
  <si>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</si>
  <si>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</si>
  <si>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</si>
  <si>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</si>
  <si>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</si>
  <si>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</si>
  <si>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</si>
  <si>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</si>
  <si>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</si>
  <si>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</si>
  <si>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</si>
  <si>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</si>
  <si>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</si>
  <si>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</si>
  <si>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</si>
  <si>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</si>
  <si>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</si>
  <si>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</si>
  <si>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</si>
  <si>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</si>
  <si>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</si>
  <si>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</si>
  <si>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</si>
  <si>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</si>
  <si>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</si>
  <si>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</si>
  <si>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</si>
  <si>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</si>
  <si>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</si>
  <si>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</si>
  <si>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</si>
  <si>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</si>
  <si>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</si>
  <si>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</si>
  <si>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</si>
  <si>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</si>
  <si>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</si>
  <si>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</si>
  <si>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</si>
  <si>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</si>
  <si>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</si>
  <si>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</si>
  <si>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</si>
  <si>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</si>
  <si>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</si>
  <si>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</si>
  <si>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</si>
  <si>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</si>
  <si>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</si>
  <si>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</si>
  <si>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</si>
  <si>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</si>
  <si>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</si>
  <si>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</si>
  <si>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</si>
  <si>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</si>
  <si>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</si>
  <si>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</si>
  <si>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</si>
  <si>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</si>
  <si>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</si>
  <si>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</si>
  <si>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</si>
  <si>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</si>
  <si>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</si>
  <si>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</si>
  <si>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</si>
  <si>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</si>
  <si>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</si>
  <si>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</si>
  <si>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</si>
  <si>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</si>
  <si>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</si>
  <si>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</si>
  <si>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</si>
  <si>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</si>
  <si>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</si>
  <si>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</si>
  <si>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</si>
  <si>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</si>
  <si>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</si>
  <si>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</si>
  <si>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</si>
  <si>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</si>
  <si>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</si>
  <si>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</si>
  <si>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</si>
  <si>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</si>
  <si>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</si>
  <si>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</si>
  <si>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</si>
  <si>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</si>
  <si>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</si>
  <si>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</si>
  <si>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</si>
  <si>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</si>
  <si>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</si>
  <si>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</si>
  <si>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</si>
  <si>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</si>
  <si>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</si>
  <si>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</si>
  <si>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</si>
  <si>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</si>
  <si>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</si>
  <si>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</si>
  <si>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</si>
  <si>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</si>
  <si>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</si>
  <si>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</si>
  <si>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</si>
  <si>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</si>
  <si>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</si>
  <si>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</si>
  <si>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</si>
  <si>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</si>
  <si>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</si>
  <si>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</si>
  <si>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</si>
  <si>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</si>
  <si>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</si>
  <si>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</si>
  <si>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</si>
  <si>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</si>
  <si>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</si>
  <si>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</si>
  <si>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</si>
  <si>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</si>
  <si>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</si>
  <si>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</si>
  <si>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</si>
  <si>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</si>
  <si>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</si>
  <si>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</si>
  <si>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</si>
  <si>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</si>
  <si>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</si>
  <si>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</si>
  <si>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</si>
  <si>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</si>
  <si>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</si>
  <si>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</si>
  <si>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</si>
  <si>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</si>
  <si>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</si>
  <si>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</si>
  <si>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</si>
  <si>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</si>
  <si>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</si>
  <si>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</si>
  <si>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</si>
  <si>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</si>
  <si>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</si>
  <si>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</si>
  <si>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</si>
  <si>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</si>
  <si>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</si>
  <si>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</si>
  <si>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</si>
  <si>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</si>
  <si>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</si>
  <si>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</si>
  <si>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</si>
  <si>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</si>
  <si>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</si>
  <si>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</si>
  <si>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</si>
  <si>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</si>
  <si>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</si>
  <si>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</si>
  <si>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</si>
  <si>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</si>
  <si>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</si>
  <si>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</si>
  <si>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</si>
  <si>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</si>
  <si>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</si>
  <si>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</si>
  <si>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</si>
  <si>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</si>
  <si>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</si>
  <si>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</si>
  <si>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</si>
  <si>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</si>
  <si>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</si>
  <si>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</si>
  <si>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</si>
  <si>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</si>
  <si>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</si>
  <si>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</si>
  <si>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</si>
  <si>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</si>
  <si>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</si>
  <si>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</si>
  <si>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</si>
  <si>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</si>
  <si>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</si>
  <si>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</si>
  <si>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</si>
  <si>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</si>
  <si>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</si>
  <si>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</si>
  <si>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</si>
  <si>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</si>
  <si>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</si>
  <si>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</si>
  <si>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</si>
  <si>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</si>
  <si>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</si>
  <si>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</si>
  <si>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</si>
  <si>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</si>
  <si>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</si>
  <si>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</si>
  <si>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</si>
  <si>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</si>
  <si>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</si>
  <si>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</si>
  <si>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</si>
  <si>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</si>
  <si>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</si>
  <si>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</si>
  <si>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</si>
  <si>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</si>
  <si>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</si>
  <si>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</si>
  <si>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</si>
  <si>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</si>
  <si>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</si>
  <si>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</si>
  <si>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</si>
  <si>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</si>
  <si>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</si>
  <si>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</si>
  <si>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</si>
  <si>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</si>
  <si>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</si>
  <si>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</si>
  <si>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</si>
  <si>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</si>
  <si>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</si>
  <si>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</si>
  <si>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</si>
  <si>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</si>
  <si>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</si>
  <si>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</si>
  <si>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</si>
  <si>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</si>
  <si>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</si>
  <si>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</si>
  <si>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</si>
  <si>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</si>
  <si>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</si>
  <si>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</si>
  <si>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</si>
  <si>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</si>
  <si>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</si>
  <si>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</si>
  <si>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</si>
  <si>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</si>
  <si>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</si>
  <si>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</si>
  <si>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</si>
  <si>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</si>
  <si>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</si>
  <si>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</si>
  <si>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</si>
  <si>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</si>
  <si>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</si>
  <si>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</si>
  <si>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</si>
  <si>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</si>
  <si>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</si>
  <si>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</si>
  <si>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</si>
  <si>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</si>
  <si>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</si>
  <si>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</si>
  <si>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</si>
  <si>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</si>
  <si>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</si>
  <si>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</si>
  <si>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</si>
  <si>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</si>
  <si>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</si>
  <si>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</si>
  <si>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</si>
  <si>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</si>
  <si>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</si>
  <si>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</si>
  <si>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</si>
  <si>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</si>
  <si>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</si>
  <si>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</si>
  <si>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</si>
  <si>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</si>
  <si>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</si>
  <si>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</si>
  <si>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</si>
  <si>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</si>
  <si>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</si>
  <si>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</si>
  <si>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</si>
  <si>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</si>
  <si>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</si>
  <si>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</si>
  <si>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</si>
  <si>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</si>
  <si>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</si>
  <si>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</si>
  <si>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</si>
  <si>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</si>
  <si>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</si>
  <si>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</si>
  <si>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</si>
  <si>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</si>
  <si>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</si>
  <si>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</si>
  <si>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</si>
  <si>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</si>
  <si>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</si>
  <si>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</si>
  <si>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</si>
  <si>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</si>
  <si>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</si>
  <si>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</si>
  <si>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</si>
  <si>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</si>
  <si>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</si>
  <si>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</si>
  <si>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</si>
  <si>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</si>
  <si>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</si>
  <si>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</si>
  <si>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</si>
  <si>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</si>
  <si>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</si>
  <si>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</si>
  <si>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</si>
  <si>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</si>
  <si>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</si>
  <si>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</si>
  <si>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</si>
  <si>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</si>
  <si>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</si>
  <si>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</si>
  <si>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</si>
  <si>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</si>
  <si>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</si>
  <si>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</si>
  <si>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</si>
  <si>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</si>
  <si>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</si>
  <si>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</si>
  <si>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</si>
  <si>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</si>
  <si>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</si>
  <si>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</si>
  <si>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</si>
  <si>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</si>
  <si>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</si>
  <si>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</si>
  <si>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</si>
  <si>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</si>
  <si>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</si>
  <si>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</si>
  <si>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</si>
  <si>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</si>
  <si>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</si>
  <si>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</si>
  <si>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</si>
  <si>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</si>
  <si>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</si>
  <si>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</si>
  <si>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</si>
  <si>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</si>
  <si>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</si>
  <si>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</si>
  <si>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</si>
  <si>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</si>
  <si>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</si>
  <si>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</si>
  <si>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</si>
  <si>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</si>
  <si>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</si>
  <si>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</si>
  <si>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</si>
  <si>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</si>
  <si>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</si>
  <si>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</si>
  <si>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</si>
  <si>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</si>
  <si>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</si>
  <si>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</si>
  <si>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</si>
  <si>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</si>
  <si>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</si>
  <si>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</si>
  <si>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</si>
  <si>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</si>
  <si>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</si>
  <si>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</si>
  <si>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</si>
  <si>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</si>
  <si>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</si>
  <si>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</si>
  <si>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</si>
  <si>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</si>
  <si>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</si>
  <si>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</si>
  <si>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</si>
  <si>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</si>
  <si>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</si>
  <si>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</si>
  <si>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</si>
  <si>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</si>
  <si>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</si>
  <si>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</si>
  <si>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</si>
  <si>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</si>
  <si>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</si>
  <si>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</si>
  <si>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</si>
  <si>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</si>
  <si>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</si>
  <si>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</si>
  <si>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</si>
  <si>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</si>
  <si>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</si>
  <si>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</si>
  <si>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</si>
  <si>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</si>
  <si>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</si>
  <si>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</si>
  <si>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</si>
  <si>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</si>
  <si>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</si>
  <si>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</si>
  <si>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</si>
  <si>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</si>
  <si>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</si>
  <si>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</si>
  <si>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</si>
  <si>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</si>
  <si>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</si>
  <si>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</si>
  <si>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</si>
  <si>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</si>
  <si>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</si>
  <si>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</si>
  <si>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</si>
  <si>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</si>
  <si>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</si>
  <si>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</si>
  <si>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</si>
  <si>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</si>
  <si>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</si>
  <si>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</si>
  <si>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</si>
  <si>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</si>
  <si>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</si>
  <si>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</si>
  <si>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</si>
  <si>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</si>
  <si>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</si>
  <si>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</si>
  <si>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</si>
  <si>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</si>
  <si>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</si>
  <si>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</si>
  <si>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</si>
  <si>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</si>
  <si>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</si>
  <si>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</si>
  <si>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</si>
  <si>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</si>
  <si>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</si>
  <si>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</si>
  <si>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</si>
  <si>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</si>
  <si>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</si>
  <si>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</si>
  <si>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</si>
  <si>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</si>
  <si>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</si>
  <si>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</si>
  <si>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</si>
  <si>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</si>
  <si>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</si>
  <si>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</si>
  <si>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</si>
  <si>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</si>
  <si>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</si>
  <si>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</si>
  <si>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</si>
  <si>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</si>
  <si>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</si>
  <si>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</si>
  <si>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</si>
  <si>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</si>
  <si>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</si>
  <si>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</si>
  <si>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</si>
  <si>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</si>
  <si>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</si>
  <si>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</si>
  <si>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</si>
  <si>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</si>
  <si>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</si>
  <si>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</si>
  <si>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</si>
  <si>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</si>
  <si>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</si>
  <si>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</si>
  <si>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</si>
  <si>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</si>
  <si>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</si>
  <si>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</si>
  <si>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</si>
  <si>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</si>
  <si>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</si>
  <si>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</si>
  <si>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</si>
  <si>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</si>
  <si>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</si>
  <si>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</si>
  <si>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</si>
  <si>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</si>
  <si>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</si>
  <si>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</si>
  <si>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</si>
  <si>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</si>
  <si>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</si>
  <si>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</si>
  <si>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</si>
  <si>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</si>
  <si>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</si>
  <si>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</si>
  <si>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</si>
  <si>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</si>
  <si>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</si>
  <si>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</si>
  <si>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</si>
  <si>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</si>
  <si>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</si>
  <si>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</si>
  <si>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</si>
  <si>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</si>
  <si>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</si>
  <si>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</si>
  <si>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</si>
  <si>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</si>
  <si>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</si>
  <si>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</si>
  <si>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</si>
  <si>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</si>
  <si>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</si>
  <si>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</si>
  <si>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</si>
  <si>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</si>
  <si>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</si>
  <si>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</si>
  <si>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</si>
  <si>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</si>
  <si>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</si>
  <si>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</si>
  <si>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</si>
  <si>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</si>
  <si>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</si>
  <si>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</si>
  <si>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</si>
  <si>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</si>
  <si>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</si>
  <si>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</si>
  <si>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</si>
  <si>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</si>
  <si>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</si>
  <si>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</si>
  <si>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</si>
  <si>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</si>
  <si>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</si>
  <si>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</si>
  <si>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</si>
  <si>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</si>
  <si>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</si>
  <si>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</si>
  <si>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</si>
  <si>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</si>
  <si>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</si>
  <si>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</si>
  <si>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</si>
  <si>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</si>
  <si>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</si>
  <si>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</si>
  <si>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</si>
  <si>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</si>
  <si>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</si>
  <si>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</si>
  <si>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</si>
  <si>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</si>
  <si>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</si>
  <si>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</si>
  <si>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</si>
  <si>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</si>
  <si>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</si>
  <si>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</si>
  <si>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</si>
  <si>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</si>
  <si>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</si>
  <si>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</si>
  <si>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</si>
  <si>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</si>
  <si>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</si>
  <si>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</si>
  <si>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</si>
  <si>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</si>
  <si>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</si>
  <si>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</si>
  <si>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</si>
  <si>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</si>
  <si>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</si>
  <si>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</si>
  <si>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</si>
  <si>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</si>
  <si>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</si>
  <si>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</si>
  <si>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</si>
  <si>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</si>
  <si>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</si>
  <si>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</si>
  <si>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</si>
  <si>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</si>
  <si>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</si>
  <si>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</si>
  <si>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</si>
  <si>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</si>
  <si>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</si>
  <si>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</si>
  <si>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</si>
  <si>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</si>
  <si>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</si>
  <si>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</si>
  <si>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</si>
  <si>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</si>
  <si>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</si>
  <si>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</si>
  <si>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</si>
  <si>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</si>
  <si>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</si>
  <si>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</si>
  <si>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</si>
  <si>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</si>
  <si>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</si>
  <si>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</si>
  <si>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</si>
  <si>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</si>
  <si>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</si>
  <si>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</si>
  <si>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</si>
  <si>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</si>
  <si>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</si>
  <si>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</si>
  <si>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</si>
  <si>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</si>
  <si>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</si>
  <si>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</si>
  <si>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</si>
  <si>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</si>
  <si>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</si>
  <si>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</si>
  <si>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</si>
  <si>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</si>
  <si>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</si>
  <si>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</si>
  <si>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</si>
  <si>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</si>
  <si>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</si>
  <si>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</si>
  <si>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</si>
  <si>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</si>
  <si>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</si>
  <si>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</si>
  <si>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</si>
  <si>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</si>
  <si>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</si>
  <si>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</si>
  <si>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</si>
  <si>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</si>
  <si>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</si>
  <si>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</si>
  <si>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</si>
  <si>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</si>
  <si>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</si>
  <si>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</si>
  <si>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</si>
  <si>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</si>
  <si>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</si>
  <si>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</si>
  <si>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</si>
  <si>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</si>
  <si>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</si>
  <si>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</si>
  <si>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</si>
  <si>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</si>
  <si>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</si>
  <si>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</si>
  <si>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</si>
  <si>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</si>
  <si>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</si>
  <si>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</si>
  <si>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</si>
  <si>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</si>
  <si>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</si>
  <si>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</si>
  <si>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</si>
  <si>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</si>
  <si>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</si>
  <si>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</si>
  <si>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</si>
  <si>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</si>
  <si>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</si>
  <si>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</si>
  <si>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</si>
  <si>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</si>
  <si>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</si>
  <si>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</si>
  <si>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</si>
  <si>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</si>
  <si>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</si>
  <si>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</si>
  <si>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</si>
  <si>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</si>
  <si>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</si>
  <si>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</si>
  <si>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</si>
  <si>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</si>
  <si>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</si>
  <si>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</si>
  <si>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</si>
  <si>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</si>
  <si>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</si>
  <si>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</si>
  <si>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</si>
  <si>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</si>
  <si>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</si>
  <si>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</si>
  <si>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</si>
  <si>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</si>
  <si>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</si>
  <si>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</si>
  <si>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</si>
  <si>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</si>
  <si>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</si>
  <si>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</si>
  <si>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</si>
  <si>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</si>
  <si>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</si>
  <si>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</si>
  <si>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</si>
  <si>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</si>
  <si>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</si>
  <si>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</si>
  <si>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</si>
  <si>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</si>
  <si>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</si>
  <si>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</si>
  <si>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</si>
  <si>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</si>
  <si>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</si>
  <si>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</si>
  <si>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</si>
  <si>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</si>
  <si>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</si>
  <si>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</si>
  <si>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</si>
  <si>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</si>
  <si>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</si>
  <si>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</si>
  <si>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</si>
  <si>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</si>
  <si>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</si>
  <si>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</si>
  <si>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</si>
  <si>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</si>
  <si>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</si>
  <si>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</si>
  <si>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</si>
  <si>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</si>
  <si>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</si>
  <si>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</si>
  <si>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</si>
  <si>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</si>
  <si>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</si>
  <si>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</si>
  <si>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</si>
  <si>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</si>
  <si>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</si>
  <si>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</si>
  <si>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</si>
  <si>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</si>
  <si>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</si>
  <si>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</si>
  <si>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</si>
  <si>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</si>
  <si>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</si>
  <si>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</si>
  <si>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</si>
  <si>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</si>
  <si>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</si>
  <si>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</si>
  <si>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</si>
  <si>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</si>
  <si>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</si>
  <si>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</si>
  <si>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</si>
  <si>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</si>
  <si>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</si>
  <si>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</si>
  <si>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</si>
  <si>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</si>
  <si>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</si>
  <si>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</si>
  <si>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</si>
  <si>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</si>
  <si>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</si>
  <si>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</si>
  <si>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</si>
  <si>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</si>
  <si>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</si>
  <si>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</si>
  <si>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</si>
  <si>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</si>
  <si>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</si>
  <si>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</si>
  <si>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</si>
  <si>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</si>
  <si>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</si>
  <si>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</si>
  <si>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</si>
  <si>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</si>
  <si>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</si>
  <si>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</si>
  <si>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</si>
  <si>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</si>
  <si>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</si>
  <si>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</si>
  <si>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</si>
  <si>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</si>
  <si>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</si>
  <si>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</si>
  <si>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</si>
  <si>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</si>
  <si>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</si>
  <si>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</si>
  <si>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</si>
  <si>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</si>
  <si>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</si>
  <si>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</si>
  <si>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</si>
  <si>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</si>
  <si>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</si>
  <si>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</si>
  <si>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</si>
  <si>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</si>
  <si>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</si>
  <si>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</si>
  <si>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</si>
  <si>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</si>
  <si>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</si>
  <si>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</si>
  <si>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</si>
  <si>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</si>
  <si>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</si>
  <si>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</si>
  <si>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</si>
  <si>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</si>
  <si>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</si>
  <si>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</si>
  <si>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</si>
  <si>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</si>
  <si>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</si>
  <si>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</si>
  <si>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</si>
  <si>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</si>
  <si>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</si>
  <si>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</si>
  <si>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</si>
  <si>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</si>
  <si>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</si>
  <si>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</si>
  <si>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</si>
  <si>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</si>
  <si>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</si>
  <si>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</si>
  <si>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</si>
  <si>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</si>
  <si>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</si>
  <si>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</si>
  <si>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</si>
  <si>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</si>
  <si>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</si>
  <si>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</si>
  <si>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</si>
  <si>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</si>
  <si>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</si>
  <si>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</si>
  <si>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</si>
  <si>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</si>
  <si>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</si>
  <si>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</si>
  <si>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</si>
  <si>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</si>
  <si>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</si>
  <si>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</si>
  <si>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</si>
  <si>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</si>
  <si>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</si>
  <si>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</si>
  <si>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</si>
  <si>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</si>
  <si>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</si>
  <si>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</si>
  <si>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</si>
  <si>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</si>
  <si>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</si>
  <si>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</si>
  <si>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</si>
  <si>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</si>
  <si>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</si>
  <si>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</si>
  <si>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</si>
  <si>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</si>
  <si>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</si>
  <si>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</si>
  <si>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</si>
  <si>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</si>
  <si>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</si>
  <si>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</si>
  <si>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</si>
  <si>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</si>
  <si>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</si>
  <si>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</si>
  <si>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</si>
  <si>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</si>
  <si>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</si>
  <si>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</si>
  <si>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</si>
  <si>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</si>
  <si>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</si>
  <si>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</si>
  <si>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</si>
  <si>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</si>
  <si>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</si>
  <si>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</si>
  <si>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</si>
  <si>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</si>
  <si>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</si>
  <si>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</si>
  <si>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</si>
  <si>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</si>
  <si>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</si>
  <si>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</si>
  <si>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</si>
  <si>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</si>
  <si>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</si>
  <si>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</si>
  <si>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</si>
  <si>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</si>
  <si>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</si>
  <si>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</si>
  <si>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</si>
  <si>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</si>
  <si>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</si>
  <si>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</si>
  <si>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</si>
  <si>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</si>
  <si>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</si>
  <si>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</si>
  <si>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</si>
  <si>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</si>
  <si>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</si>
  <si>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</si>
  <si>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</si>
  <si>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</si>
  <si>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</si>
  <si>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</si>
  <si>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</si>
  <si>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</si>
  <si>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</si>
  <si>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</si>
  <si>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</si>
  <si>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</si>
  <si>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</si>
  <si>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</si>
  <si>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</si>
  <si>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</si>
  <si>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</si>
  <si>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</si>
  <si>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</si>
  <si>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</si>
  <si>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</si>
  <si>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</si>
  <si>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</si>
  <si>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</si>
  <si>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</si>
  <si>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</si>
  <si>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</si>
  <si>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</si>
  <si>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</si>
  <si>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</si>
  <si>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</si>
  <si>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</si>
  <si>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</si>
  <si>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</si>
  <si>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</si>
  <si>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</si>
  <si>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</si>
  <si>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</si>
  <si>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</si>
  <si>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</si>
  <si>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</si>
  <si>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</si>
  <si>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</si>
  <si>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</si>
  <si>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</si>
  <si>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</si>
  <si>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</si>
  <si>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</si>
  <si>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</si>
  <si>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</si>
  <si>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</si>
  <si>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</si>
  <si>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</si>
  <si>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</si>
  <si>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</si>
  <si>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</si>
  <si>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</si>
  <si>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</si>
  <si>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</si>
  <si>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</si>
  <si>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</si>
  <si>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</si>
  <si>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</si>
  <si>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</si>
  <si>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</si>
  <si>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</si>
  <si>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</si>
  <si>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</si>
  <si>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</si>
  <si>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</si>
  <si>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</si>
  <si>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</si>
  <si>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</si>
  <si>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</si>
  <si>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</si>
  <si>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</si>
  <si>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</si>
  <si>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</si>
  <si>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</si>
  <si>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</si>
  <si>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</si>
  <si>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</si>
  <si>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</si>
  <si>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</si>
  <si>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</si>
  <si>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</si>
  <si>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</si>
  <si>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</si>
  <si>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</si>
  <si>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</si>
  <si>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</si>
  <si>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</si>
  <si>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</si>
  <si>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</si>
  <si>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</si>
  <si>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</si>
  <si>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</si>
  <si>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</si>
  <si>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</si>
  <si>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</si>
  <si>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</si>
  <si>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</si>
  <si>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</si>
  <si>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</si>
  <si>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</si>
  <si>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</si>
  <si>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</si>
  <si>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</si>
  <si>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</si>
  <si>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</si>
  <si>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</si>
  <si>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</si>
  <si>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</si>
  <si>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</si>
  <si>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</si>
  <si>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</si>
  <si>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</si>
  <si>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</si>
  <si>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</si>
  <si>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</si>
  <si>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</si>
  <si>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</si>
  <si>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</si>
  <si>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</si>
  <si>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</si>
  <si>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</si>
  <si>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</si>
  <si>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</si>
  <si>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</si>
  <si>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</si>
  <si>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</si>
  <si>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</si>
  <si>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</si>
  <si>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</si>
  <si>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</si>
  <si>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</si>
  <si>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</si>
  <si>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</si>
  <si>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</si>
  <si>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</si>
  <si>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</si>
  <si>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</si>
  <si>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</si>
  <si>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</si>
  <si>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</si>
  <si>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</si>
  <si>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</si>
  <si>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</si>
  <si>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</si>
  <si>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</si>
  <si>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</si>
  <si>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</si>
  <si>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</si>
  <si>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</si>
  <si>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</si>
  <si>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</si>
  <si>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</si>
  <si>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</si>
  <si>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</si>
  <si>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</si>
  <si>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</si>
  <si>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</si>
  <si>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</si>
  <si>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</si>
  <si>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</si>
  <si>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</si>
  <si>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</si>
  <si>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</si>
  <si>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</si>
  <si>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</si>
  <si>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</si>
  <si>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</si>
  <si>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</si>
  <si>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</si>
  <si>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</si>
  <si>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</si>
  <si>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</si>
  <si>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</si>
  <si>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</si>
  <si>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</si>
  <si>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</si>
  <si>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</si>
  <si>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</si>
  <si>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</si>
  <si>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</si>
  <si>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</si>
  <si>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</si>
  <si>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</si>
  <si>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</si>
  <si>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</si>
  <si>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</si>
  <si>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</si>
  <si>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</si>
  <si>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</si>
  <si>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</si>
  <si>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</si>
  <si>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</si>
  <si>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</si>
  <si>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</si>
  <si>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</si>
  <si>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</si>
  <si>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</si>
  <si>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</si>
  <si>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</si>
  <si>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</si>
  <si>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</si>
  <si>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</si>
  <si>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</si>
  <si>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</si>
  <si>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</si>
  <si>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</si>
  <si>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</si>
  <si>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</si>
  <si>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</si>
  <si>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</si>
  <si>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</si>
  <si>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</si>
  <si>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</si>
  <si>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</si>
  <si>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</si>
  <si>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</si>
  <si>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</si>
  <si>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</si>
  <si>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</si>
  <si>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</si>
  <si>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</si>
  <si>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</si>
  <si>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</si>
  <si>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</si>
  <si>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</si>
  <si>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</si>
  <si>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</si>
  <si>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</si>
  <si>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</si>
  <si>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</si>
  <si>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</si>
  <si>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</si>
  <si>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</si>
  <si>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</si>
  <si>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</si>
  <si>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</si>
  <si>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</si>
  <si>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</si>
  <si>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</si>
  <si>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</si>
  <si>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</si>
  <si>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</si>
  <si>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</si>
  <si>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</si>
  <si>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</si>
  <si>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</si>
  <si>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</si>
  <si>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</si>
  <si>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</si>
  <si>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</si>
  <si>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</si>
  <si>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</si>
  <si>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</si>
  <si>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</si>
  <si>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</si>
  <si>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</si>
  <si>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</si>
  <si>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</si>
  <si>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</si>
  <si>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</si>
  <si>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</si>
  <si>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</si>
  <si>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</si>
  <si>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</si>
  <si>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</si>
  <si>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</si>
  <si>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</si>
  <si>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</si>
  <si>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</si>
  <si>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</si>
  <si>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</si>
  <si>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</si>
  <si>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</si>
  <si>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</si>
  <si>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</si>
  <si>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</si>
  <si>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</si>
  <si>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</si>
  <si>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</si>
  <si>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</si>
  <si>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</si>
  <si>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</si>
  <si>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</si>
  <si>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</si>
  <si>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</si>
  <si>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</si>
  <si>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</si>
  <si>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</si>
  <si>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</si>
  <si>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</si>
  <si>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</si>
  <si>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</si>
  <si>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</si>
  <si>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</si>
  <si>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</si>
  <si>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</si>
  <si>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</si>
  <si>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</si>
  <si>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</si>
  <si>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</si>
  <si>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</si>
  <si>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</si>
  <si>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</si>
  <si>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</si>
  <si>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</si>
  <si>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</si>
  <si>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</si>
  <si>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</si>
  <si>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</si>
  <si>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</si>
  <si>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</si>
  <si>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</si>
  <si>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</si>
  <si>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</si>
  <si>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</si>
  <si>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</si>
  <si>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</si>
  <si>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</si>
  <si>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</si>
  <si>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</si>
  <si>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</si>
  <si>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</si>
  <si>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</si>
  <si>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</si>
  <si>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</si>
  <si>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</si>
  <si>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</si>
  <si>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</si>
  <si>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</si>
  <si>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</si>
  <si>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</si>
  <si>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</si>
  <si>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</si>
  <si>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</si>
  <si>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</si>
  <si>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</si>
  <si>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</si>
  <si>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</si>
  <si>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</si>
  <si>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</si>
  <si>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</si>
  <si>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</si>
  <si>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</si>
  <si>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</si>
  <si>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</si>
  <si>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</si>
  <si>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</si>
  <si>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</si>
  <si>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</si>
  <si>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</si>
  <si>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</si>
  <si>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</si>
  <si>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</si>
  <si>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</si>
  <si>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</si>
  <si>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</si>
  <si>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</si>
  <si>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</si>
  <si>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</si>
  <si>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</si>
  <si>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</si>
  <si>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</si>
  <si>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</si>
  <si>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</si>
  <si>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</si>
  <si>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</si>
  <si>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</si>
  <si>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</si>
  <si>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</si>
  <si>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</si>
  <si>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</si>
  <si>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</si>
  <si>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</si>
  <si>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</si>
  <si>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</si>
  <si>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</si>
  <si>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</si>
  <si>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</si>
  <si>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</si>
  <si>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</si>
  <si>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</si>
  <si>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</si>
  <si>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</si>
  <si>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</si>
  <si>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</si>
  <si>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</si>
  <si>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</si>
  <si>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</si>
  <si>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</si>
  <si>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</si>
  <si>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</si>
  <si>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</si>
  <si>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</si>
  <si>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</si>
  <si>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</si>
  <si>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</si>
  <si>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</si>
  <si>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</si>
  <si>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</si>
  <si>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</si>
  <si>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</si>
  <si>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</si>
  <si>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</si>
  <si>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</si>
  <si>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</si>
  <si>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</si>
  <si>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</si>
  <si>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</si>
  <si>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</si>
  <si>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</si>
  <si>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</si>
  <si>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</si>
  <si>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</si>
  <si>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</si>
  <si>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</si>
  <si>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</si>
  <si>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</si>
  <si>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</si>
  <si>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</si>
  <si>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</si>
  <si>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</si>
  <si>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</si>
  <si>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</si>
  <si>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</si>
  <si>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</si>
  <si>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</si>
  <si>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</si>
  <si>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</si>
  <si>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</si>
  <si>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</si>
  <si>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</si>
  <si>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</si>
  <si>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</si>
  <si>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</si>
  <si>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</si>
  <si>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</si>
  <si>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</si>
  <si>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</si>
  <si>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</si>
  <si>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</si>
  <si>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</si>
  <si>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</si>
  <si>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</si>
  <si>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</si>
  <si>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</si>
  <si>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</si>
  <si>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</si>
  <si>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</si>
  <si>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</si>
  <si>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</si>
  <si>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</si>
  <si>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</si>
  <si>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</si>
  <si>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</si>
  <si>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</si>
  <si>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</si>
  <si>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</si>
  <si>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</si>
  <si>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</si>
  <si>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</si>
  <si>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</si>
  <si>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</si>
  <si>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</si>
  <si>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</si>
  <si>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</si>
  <si>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</si>
  <si>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</si>
  <si>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</si>
  <si>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</si>
  <si>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</si>
  <si>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</si>
  <si>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</si>
  <si>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</si>
  <si>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</si>
  <si>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</si>
  <si>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</si>
  <si>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</si>
  <si>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</si>
  <si>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</si>
  <si>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</si>
  <si>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</si>
  <si>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</si>
  <si>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</si>
  <si>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</si>
  <si>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</si>
  <si>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</si>
  <si>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</si>
  <si>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</si>
  <si>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</si>
  <si>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</si>
  <si>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</si>
  <si>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</si>
  <si>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</si>
  <si>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</si>
  <si>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</si>
  <si>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</si>
  <si>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</si>
  <si>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</si>
  <si>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</si>
  <si>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</si>
  <si>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</si>
  <si>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</si>
  <si>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</si>
  <si>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</si>
  <si>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</si>
  <si>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</si>
  <si>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</si>
  <si>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</si>
  <si>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</si>
  <si>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</si>
  <si>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</si>
  <si>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</si>
  <si>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</si>
  <si>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</si>
  <si>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</si>
  <si>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</si>
  <si>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</si>
  <si>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</si>
  <si>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</si>
  <si>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</si>
  <si>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</si>
  <si>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</si>
  <si>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</si>
  <si>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</si>
  <si>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</si>
  <si>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</si>
  <si>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</si>
  <si>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</si>
  <si>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</si>
  <si>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</si>
  <si>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</si>
  <si>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</si>
  <si>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</si>
  <si>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</si>
  <si>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</si>
  <si>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</si>
  <si>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</si>
  <si>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</si>
  <si>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</si>
  <si>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</si>
  <si>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</si>
  <si>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</si>
  <si>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</si>
  <si>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</si>
  <si>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</si>
  <si>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</si>
  <si>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</si>
  <si>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</si>
  <si>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</si>
  <si>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</si>
  <si>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</si>
  <si>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</si>
  <si>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</si>
  <si>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</si>
  <si>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</si>
  <si>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</si>
  <si>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</si>
  <si>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</si>
  <si>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</si>
  <si>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</si>
  <si>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</si>
  <si>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</si>
  <si>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</si>
  <si>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</si>
  <si>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</si>
  <si>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</si>
  <si>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</si>
  <si>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</si>
  <si>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</si>
  <si>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</si>
  <si>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</si>
  <si>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</si>
  <si>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</si>
  <si>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</si>
  <si>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</si>
  <si>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</si>
  <si>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</si>
  <si>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</si>
  <si>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</si>
  <si>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</si>
  <si>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</si>
  <si>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</si>
  <si>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</si>
  <si>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</si>
  <si>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</si>
  <si>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</si>
  <si>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</si>
  <si>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</si>
  <si>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</si>
  <si>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</si>
  <si>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</si>
  <si>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</si>
  <si>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</si>
  <si>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</si>
  <si>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</si>
  <si>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</si>
  <si>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</si>
  <si>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</si>
  <si>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</si>
  <si>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</si>
  <si>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</si>
  <si>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</si>
  <si>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</si>
  <si>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</si>
  <si>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</si>
  <si>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</si>
  <si>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</si>
  <si>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</si>
  <si>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</si>
  <si>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</si>
  <si>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</si>
  <si>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</si>
  <si>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</si>
  <si>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</si>
  <si>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</si>
  <si>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</si>
  <si>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</si>
  <si>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</si>
  <si>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</si>
  <si>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</si>
  <si>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</si>
  <si>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</si>
  <si>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</si>
  <si>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</si>
  <si>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</si>
  <si>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</si>
  <si>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</si>
  <si>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</si>
  <si>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</si>
  <si>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</si>
  <si>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</si>
  <si>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</si>
  <si>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</si>
  <si>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</si>
  <si>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</si>
  <si>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</si>
  <si>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</si>
  <si>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</si>
  <si>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</si>
  <si>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</si>
  <si>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</si>
  <si>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</si>
  <si>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</si>
  <si>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</si>
  <si>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</si>
  <si>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</si>
  <si>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</si>
  <si>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</si>
  <si>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</si>
  <si>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</si>
  <si>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</si>
  <si>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</si>
  <si>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</si>
  <si>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</si>
  <si>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</si>
  <si>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</si>
  <si>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</si>
  <si>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</si>
  <si>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</si>
  <si>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</si>
  <si>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</si>
  <si>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</si>
  <si>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</si>
  <si>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</si>
  <si>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</si>
  <si>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</si>
  <si>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</si>
  <si>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</si>
  <si>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</si>
  <si>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</si>
  <si>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</si>
  <si>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</si>
  <si>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</si>
  <si>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</si>
  <si>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</si>
  <si>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</si>
  <si>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</si>
  <si>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</si>
  <si>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</si>
  <si>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</si>
  <si>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</si>
  <si>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</si>
  <si>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</si>
  <si>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</si>
  <si>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</si>
  <si>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</si>
  <si>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</si>
  <si>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</si>
  <si>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</si>
  <si>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</si>
  <si>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</si>
  <si>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</si>
  <si>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</si>
  <si>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</si>
  <si>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</si>
  <si>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</si>
  <si>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</si>
  <si>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</si>
  <si>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</si>
  <si>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</si>
  <si>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</si>
  <si>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</si>
  <si>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</si>
  <si>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</si>
  <si>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</si>
  <si>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</si>
  <si>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</si>
  <si>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</si>
  <si>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</si>
  <si>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</si>
  <si>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</si>
  <si>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</si>
  <si>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</si>
  <si>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</si>
  <si>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</si>
  <si>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</si>
  <si>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</si>
  <si>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</si>
  <si>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</si>
  <si>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</si>
  <si>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</si>
  <si>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</si>
  <si>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</si>
  <si>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</si>
  <si>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</si>
  <si>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</si>
  <si>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</si>
  <si>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</si>
  <si>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</si>
  <si>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</si>
  <si>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</si>
  <si>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</si>
  <si>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</si>
  <si>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</si>
  <si>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</si>
  <si>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</si>
  <si>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</si>
  <si>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</si>
  <si>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</si>
  <si>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</si>
  <si>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</si>
  <si>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</si>
  <si>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</si>
  <si>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</si>
  <si>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</si>
  <si>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</si>
  <si>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</si>
  <si>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</si>
  <si>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</si>
  <si>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</si>
  <si>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</si>
  <si>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</si>
  <si>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</si>
  <si>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</si>
  <si>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</si>
  <si>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</si>
  <si>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</si>
  <si>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</si>
  <si>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</si>
  <si>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</si>
  <si>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</si>
  <si>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</si>
  <si>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</si>
  <si>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</si>
  <si>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</si>
  <si>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</si>
  <si>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</si>
  <si>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</si>
  <si>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</si>
  <si>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</si>
  <si>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</si>
  <si>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</si>
  <si>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</si>
  <si>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</si>
  <si>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</si>
  <si>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</si>
  <si>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</si>
  <si>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</si>
  <si>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</si>
  <si>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</si>
  <si>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</si>
  <si>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</si>
  <si>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</si>
  <si>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</si>
  <si>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</si>
  <si>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</si>
  <si>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</si>
  <si>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</si>
  <si>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</si>
  <si>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</si>
  <si>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</si>
  <si>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</si>
  <si>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</si>
  <si>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</si>
  <si>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</si>
  <si>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</si>
  <si>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</si>
  <si>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</si>
  <si>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</si>
  <si>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</si>
  <si>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</si>
  <si>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</si>
  <si>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</si>
  <si>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</si>
  <si>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</si>
  <si>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</si>
  <si>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</si>
  <si>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</si>
  <si>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</si>
  <si>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</si>
  <si>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</si>
  <si>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</si>
  <si>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</si>
  <si>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</si>
  <si>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</si>
  <si>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</si>
  <si>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</si>
  <si>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</si>
  <si>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</si>
  <si>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</si>
  <si>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</si>
  <si>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</si>
  <si>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</si>
  <si>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</si>
  <si>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</si>
  <si>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</si>
  <si>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</si>
  <si>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</si>
  <si>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</si>
  <si>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</si>
  <si>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</si>
  <si>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</si>
  <si>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</si>
  <si>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</si>
  <si>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</si>
  <si>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</si>
  <si>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</si>
  <si>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</si>
  <si>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</si>
  <si>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</si>
  <si>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</si>
  <si>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</si>
  <si>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</si>
  <si>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</si>
  <si>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</si>
  <si>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</si>
  <si>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</si>
  <si>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</si>
  <si>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</si>
  <si>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</si>
  <si>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</si>
  <si>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</si>
  <si>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</si>
  <si>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</si>
  <si>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</si>
  <si>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</si>
  <si>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</si>
  <si>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</si>
  <si>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</si>
  <si>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</si>
  <si>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</si>
  <si>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</si>
  <si>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</si>
  <si>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</si>
  <si>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</si>
  <si>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</si>
  <si>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</si>
  <si>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</si>
  <si>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</si>
  <si>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</si>
  <si>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</si>
  <si>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</si>
  <si>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</si>
  <si>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</si>
  <si>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</si>
  <si>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</si>
  <si>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</si>
  <si>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</si>
  <si>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</si>
  <si>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</si>
  <si>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</si>
  <si>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</si>
  <si>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</si>
  <si>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</si>
  <si>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</si>
  <si>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</si>
  <si>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</si>
  <si>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</si>
  <si>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</si>
  <si>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</si>
  <si>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</si>
  <si>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</si>
  <si>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</si>
  <si>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</si>
  <si>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</si>
  <si>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</si>
  <si>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</si>
  <si>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</si>
  <si>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</si>
  <si>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</si>
  <si>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</si>
  <si>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</si>
  <si>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</si>
  <si>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</si>
  <si>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</si>
  <si>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</si>
  <si>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</si>
  <si>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</si>
  <si>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</si>
  <si>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</si>
  <si>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</si>
  <si>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</si>
  <si>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</si>
  <si>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</si>
  <si>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</si>
  <si>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</si>
  <si>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</si>
  <si>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</si>
  <si>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</si>
  <si>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</si>
  <si>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</si>
  <si>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</si>
  <si>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</si>
  <si>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</si>
  <si>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</si>
  <si>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</si>
  <si>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</si>
  <si>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</si>
  <si>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</si>
  <si>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</si>
  <si>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</si>
  <si>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</si>
  <si>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</si>
  <si>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</si>
  <si>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</si>
  <si>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</si>
  <si>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</si>
  <si>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</si>
  <si>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</si>
  <si>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</si>
  <si>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</si>
  <si>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</si>
  <si>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</si>
  <si>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</si>
  <si>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</si>
  <si>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</si>
  <si>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</si>
  <si>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</si>
  <si>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</si>
  <si>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</si>
  <si>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</si>
  <si>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</si>
  <si>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</si>
  <si>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</si>
  <si>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</si>
  <si>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</si>
  <si>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</si>
  <si>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</si>
  <si>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</si>
  <si>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</si>
  <si>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</si>
  <si>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</si>
  <si>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</si>
  <si>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</si>
  <si>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</si>
  <si>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</si>
  <si>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</si>
  <si>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</si>
  <si>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</si>
  <si>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</si>
  <si>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</si>
  <si>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</si>
  <si>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</si>
  <si>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</si>
  <si>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</si>
  <si>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</si>
  <si>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</si>
  <si>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</si>
  <si>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</si>
  <si>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</si>
  <si>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</si>
  <si>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</si>
  <si>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</si>
  <si>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</si>
  <si>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</si>
  <si>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</si>
  <si>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</si>
  <si>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</si>
  <si>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</si>
  <si>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</si>
  <si>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</si>
  <si>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</si>
  <si>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</si>
  <si>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</si>
  <si>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</si>
  <si>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</si>
  <si>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</si>
  <si>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</si>
  <si>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</si>
  <si>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</si>
  <si>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</si>
  <si>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</si>
  <si>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</si>
  <si>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</si>
  <si>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</si>
  <si>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</si>
  <si>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</si>
  <si>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</si>
  <si>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</si>
  <si>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</si>
  <si>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</si>
  <si>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</si>
  <si>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</si>
  <si>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</si>
  <si>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</si>
  <si>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</si>
  <si>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</si>
  <si>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</si>
  <si>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</si>
  <si>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</si>
  <si>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</si>
  <si>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</si>
  <si>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</si>
  <si>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</si>
  <si>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</si>
  <si>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</si>
  <si>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</si>
  <si>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</si>
  <si>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</si>
  <si>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</si>
  <si>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</si>
  <si>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</si>
  <si>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</si>
  <si>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</si>
  <si>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</si>
  <si>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</si>
  <si>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</si>
  <si>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</si>
  <si>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</si>
  <si>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</si>
  <si>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</si>
  <si>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</si>
  <si>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</si>
  <si>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</si>
  <si>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</si>
  <si>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</si>
  <si>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</si>
  <si>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</si>
  <si>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</si>
  <si>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</si>
  <si>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</si>
  <si>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</si>
  <si>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</si>
  <si>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</si>
  <si>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</si>
  <si>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</si>
  <si>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</si>
  <si>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</si>
  <si>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</si>
  <si>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</si>
  <si>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</si>
  <si>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</si>
  <si>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</si>
  <si>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</si>
  <si>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</si>
  <si>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</si>
  <si>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</si>
  <si>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</si>
  <si>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</si>
  <si>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</si>
  <si>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</si>
  <si>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</si>
  <si>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</si>
  <si>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</si>
  <si>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</si>
  <si>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</si>
  <si>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</si>
  <si>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</si>
  <si>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</si>
  <si>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</si>
  <si>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</si>
  <si>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</si>
  <si>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</si>
  <si>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</si>
  <si>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</si>
  <si>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</si>
  <si>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</si>
  <si>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</si>
  <si>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</si>
  <si>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</si>
  <si>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</si>
  <si>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</si>
  <si>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</si>
  <si>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</si>
  <si>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</si>
  <si>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</si>
  <si>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</si>
  <si>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</si>
  <si>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</si>
  <si>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</si>
  <si>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</si>
  <si>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</si>
  <si>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</si>
  <si>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</si>
  <si>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</si>
  <si>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</si>
  <si>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</si>
  <si>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</si>
  <si>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</si>
  <si>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</si>
  <si>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</si>
  <si>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</si>
  <si>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</si>
  <si>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</si>
  <si>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</si>
  <si>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</si>
  <si>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</si>
  <si>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</si>
  <si>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</si>
  <si>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</si>
  <si>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</si>
  <si>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</si>
  <si>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</si>
  <si>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</si>
  <si>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</si>
  <si>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</si>
  <si>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</si>
  <si>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</si>
  <si>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</si>
  <si>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</si>
  <si>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</si>
  <si>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</si>
  <si>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</si>
  <si>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</si>
  <si>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</si>
  <si>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</si>
  <si>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</si>
  <si>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</si>
  <si>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</si>
  <si>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</si>
  <si>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</si>
  <si>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</si>
  <si>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</si>
  <si>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</si>
  <si>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</si>
  <si>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</si>
  <si>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</si>
  <si>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</si>
  <si>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</si>
  <si>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</si>
  <si>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</si>
  <si>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</si>
  <si>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</si>
  <si>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</si>
  <si>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</si>
  <si>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</si>
  <si>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</si>
  <si>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</si>
  <si>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</si>
  <si>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</si>
  <si>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</si>
  <si>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</si>
  <si>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</si>
  <si>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</si>
  <si>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</si>
  <si>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</si>
  <si>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</si>
  <si>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</si>
  <si>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</si>
  <si>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</si>
  <si>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</si>
  <si>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</si>
  <si>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</si>
  <si>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</si>
  <si>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</si>
  <si>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</si>
  <si>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</si>
  <si>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</si>
  <si>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</si>
  <si>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</si>
  <si>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</si>
  <si>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</si>
  <si>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</si>
  <si>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</si>
  <si>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</si>
  <si>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</si>
  <si>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</si>
  <si>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</si>
  <si>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</si>
  <si>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</si>
  <si>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</si>
  <si>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</si>
  <si>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</si>
  <si>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</si>
  <si>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</si>
  <si>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</si>
  <si>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</si>
  <si>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</si>
  <si>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</si>
  <si>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</si>
  <si>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</si>
  <si>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</si>
  <si>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</si>
  <si>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</si>
  <si>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</si>
  <si>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</si>
  <si>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</si>
  <si>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</si>
  <si>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</si>
  <si>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</si>
  <si>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</si>
  <si>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</si>
  <si>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</si>
  <si>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</si>
  <si>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</si>
  <si>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</si>
  <si>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</si>
  <si>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</si>
  <si>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</si>
  <si>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</si>
  <si>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</si>
  <si>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</si>
  <si>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</si>
  <si>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</si>
  <si>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</si>
  <si>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</si>
  <si>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</si>
  <si>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</si>
  <si>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</si>
  <si>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</si>
  <si>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</si>
  <si>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</si>
  <si>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</si>
  <si>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</si>
  <si>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</si>
  <si>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</si>
  <si>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</si>
  <si>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</si>
  <si>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</si>
  <si>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</si>
  <si>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</si>
  <si>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</si>
  <si>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</si>
  <si>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</si>
  <si>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</si>
  <si>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</si>
  <si>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</si>
  <si>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</si>
  <si>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</si>
  <si>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</si>
  <si>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</si>
  <si>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</si>
  <si>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</si>
  <si>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</si>
  <si>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</si>
  <si>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</si>
  <si>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</si>
  <si>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</si>
  <si>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</si>
  <si>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</si>
  <si>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</si>
  <si>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</si>
  <si>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</si>
  <si>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</si>
  <si>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</si>
  <si>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</si>
  <si>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</si>
  <si>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</si>
  <si>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</si>
  <si>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</si>
  <si>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</si>
  <si>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</si>
  <si>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</si>
  <si>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</si>
  <si>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</si>
  <si>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</si>
  <si>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</si>
  <si>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</si>
  <si>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</si>
  <si>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</si>
  <si>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</si>
  <si>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</si>
  <si>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</si>
  <si>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</si>
  <si>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</si>
  <si>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</si>
  <si>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</si>
  <si>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</si>
  <si>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</si>
  <si>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</si>
  <si>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</si>
  <si>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</si>
  <si>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</si>
  <si>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</si>
  <si>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</si>
  <si>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</si>
  <si>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</si>
  <si>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</si>
  <si>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</si>
  <si>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</si>
  <si>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</si>
  <si>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</si>
  <si>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</si>
  <si>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</si>
  <si>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</si>
  <si>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</si>
  <si>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</si>
  <si>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</si>
  <si>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</si>
  <si>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</si>
  <si>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</si>
  <si>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</si>
  <si>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</si>
  <si>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</si>
  <si>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</si>
  <si>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</si>
  <si>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</si>
  <si>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</si>
  <si>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</si>
  <si>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</si>
  <si>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</si>
  <si>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</si>
  <si>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</si>
  <si>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</si>
  <si>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</si>
  <si>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</si>
  <si>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</si>
  <si>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</si>
  <si>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</si>
  <si>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</si>
  <si>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</si>
  <si>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</si>
  <si>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</si>
  <si>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</si>
  <si>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</si>
  <si>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</si>
  <si>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</si>
  <si>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</si>
  <si>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</si>
  <si>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</si>
  <si>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</si>
  <si>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</si>
  <si>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</si>
  <si>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</si>
  <si>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</si>
  <si>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</si>
  <si>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</si>
  <si>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</si>
  <si>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</si>
  <si>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</si>
  <si>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</si>
  <si>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</si>
  <si>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</si>
  <si>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</si>
  <si>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</si>
  <si>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</si>
  <si>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</si>
  <si>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</si>
  <si>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</si>
  <si>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</si>
  <si>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</si>
  <si>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</si>
  <si>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</si>
  <si>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</si>
  <si>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</si>
  <si>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</si>
  <si>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</si>
  <si>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</si>
  <si>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</si>
  <si>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</si>
  <si>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</si>
  <si>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</si>
  <si>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</si>
  <si>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</si>
  <si>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</si>
  <si>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</si>
  <si>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</si>
  <si>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</si>
  <si>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</si>
  <si>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</si>
  <si>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</si>
  <si>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</si>
  <si>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</si>
  <si>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</si>
  <si>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</si>
  <si>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</si>
  <si>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</si>
  <si>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</si>
  <si>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</si>
  <si>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</si>
  <si>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</si>
  <si>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</si>
  <si>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</si>
  <si>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</si>
  <si>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</si>
  <si>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</si>
  <si>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</si>
  <si>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</si>
  <si>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</si>
  <si>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</si>
  <si>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</si>
  <si>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</si>
  <si>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</si>
  <si>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</si>
  <si>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</si>
  <si>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</si>
  <si>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</si>
  <si>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</si>
  <si>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</si>
  <si>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</si>
  <si>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</si>
  <si>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</si>
  <si>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</si>
  <si>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</si>
  <si>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</si>
  <si>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</si>
  <si>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</si>
  <si>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</si>
  <si>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</si>
  <si>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</si>
  <si>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</si>
  <si>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</si>
  <si>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</si>
  <si>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</si>
  <si>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</si>
  <si>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</si>
  <si>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</si>
  <si>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</si>
  <si>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</si>
  <si>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</si>
  <si>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</si>
  <si>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</si>
  <si>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</si>
  <si>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</si>
  <si>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</si>
  <si>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</si>
  <si>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</si>
  <si>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</si>
  <si>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</si>
  <si>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</si>
  <si>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</si>
  <si>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</si>
  <si>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</si>
  <si>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</si>
  <si>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</si>
  <si>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</si>
  <si>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</si>
  <si>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</si>
  <si>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</si>
  <si>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</si>
  <si>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</si>
  <si>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</si>
  <si>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</si>
  <si>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</si>
  <si>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</si>
  <si>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</si>
  <si>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</si>
  <si>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</si>
  <si>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</si>
  <si>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</si>
  <si>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</si>
  <si>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</si>
  <si>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</si>
  <si>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</si>
  <si>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</si>
  <si>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</si>
  <si>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</si>
  <si>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</si>
  <si>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</si>
  <si>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</si>
  <si>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</si>
  <si>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</si>
  <si>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</si>
  <si>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</si>
  <si>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</si>
  <si>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</si>
  <si>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</si>
  <si>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</si>
  <si>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</si>
  <si>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</si>
  <si>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</si>
  <si>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</si>
  <si>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</si>
  <si>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</si>
  <si>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</si>
  <si>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</si>
  <si>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</si>
  <si>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</si>
  <si>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</si>
  <si>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</si>
  <si>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</si>
  <si>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</si>
  <si>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</si>
  <si>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</si>
  <si>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</si>
  <si>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</si>
  <si>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</si>
  <si>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</si>
  <si>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</si>
  <si>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</si>
  <si>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</si>
  <si>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</si>
  <si>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</si>
  <si>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</si>
  <si>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</si>
  <si>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</si>
  <si>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</si>
  <si>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</si>
  <si>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</si>
  <si>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</si>
  <si>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</si>
  <si>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</si>
  <si>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</si>
  <si>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</si>
  <si>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</si>
  <si>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</si>
  <si>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</si>
  <si>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</si>
  <si>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</si>
  <si>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</si>
  <si>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</si>
  <si>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</si>
  <si>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</si>
  <si>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</si>
  <si>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</si>
  <si>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</si>
  <si>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</si>
  <si>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</si>
  <si>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</si>
  <si>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</si>
  <si>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</si>
  <si>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</si>
  <si>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</si>
  <si>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</si>
  <si>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</si>
  <si>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</si>
  <si>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</si>
  <si>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</si>
  <si>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</si>
  <si>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</si>
  <si>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</si>
  <si>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</si>
  <si>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</si>
  <si>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</si>
  <si>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</si>
  <si>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</si>
  <si>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</si>
  <si>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</si>
  <si>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</si>
  <si>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</si>
  <si>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</si>
  <si>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</si>
  <si>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</si>
  <si>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</si>
  <si>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</si>
  <si>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</si>
  <si>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</si>
  <si>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</si>
  <si>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</si>
  <si>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</si>
  <si>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</si>
  <si>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</si>
  <si>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</si>
  <si>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</si>
  <si>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</si>
  <si>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</si>
  <si>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</si>
  <si>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</si>
  <si>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</si>
  <si>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</si>
  <si>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</si>
  <si>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</si>
  <si>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</si>
  <si>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</si>
  <si>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</si>
  <si>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</si>
  <si>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</si>
  <si>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</si>
  <si>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</si>
  <si>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</si>
  <si>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</si>
  <si>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</si>
  <si>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</si>
  <si>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</si>
  <si>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</si>
  <si>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</si>
  <si>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</si>
  <si>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</si>
  <si>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</si>
  <si>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</si>
  <si>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</si>
  <si>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</si>
  <si>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</si>
  <si>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</si>
  <si>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</si>
  <si>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</si>
  <si>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</si>
  <si>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</si>
  <si>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</si>
  <si>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</si>
  <si>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</si>
  <si>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</si>
  <si>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</si>
  <si>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</si>
  <si>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</si>
  <si>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</si>
  <si>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</si>
  <si>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</si>
  <si>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</si>
  <si>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</si>
  <si>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</si>
  <si>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</si>
  <si>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</si>
  <si>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</si>
  <si>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</si>
  <si>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</si>
  <si>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</si>
  <si>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</si>
  <si>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</si>
  <si>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</si>
  <si>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</si>
  <si>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</si>
  <si>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</si>
  <si>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</si>
  <si>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</si>
  <si>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</si>
  <si>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</si>
  <si>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</si>
  <si>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</si>
  <si>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</si>
  <si>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</si>
  <si>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</si>
  <si>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</si>
  <si>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</si>
  <si>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</si>
  <si>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</si>
  <si>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</si>
  <si>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</si>
  <si>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</si>
  <si>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</si>
  <si>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</si>
  <si>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</si>
  <si>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</si>
  <si>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</si>
  <si>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</si>
  <si>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</si>
  <si>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</si>
  <si>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</si>
  <si>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</si>
  <si>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</si>
  <si>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</si>
  <si>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</si>
  <si>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</si>
  <si>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</si>
  <si>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</si>
  <si>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</si>
  <si>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</si>
  <si>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</si>
  <si>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</si>
  <si>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</si>
  <si>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</si>
  <si>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</si>
  <si>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</si>
  <si>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</si>
  <si>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</si>
  <si>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</si>
  <si>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</si>
  <si>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</si>
  <si>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</si>
  <si>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</si>
  <si>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</si>
  <si>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</si>
  <si>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</si>
  <si>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</si>
  <si>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</si>
  <si>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</si>
  <si>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</si>
  <si>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</si>
  <si>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</si>
  <si>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</si>
  <si>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</si>
  <si>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</si>
  <si>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</si>
  <si>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</si>
  <si>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</si>
  <si>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</si>
  <si>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</si>
  <si>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</si>
  <si>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</si>
  <si>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</si>
  <si>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</si>
  <si>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</si>
  <si>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</si>
  <si>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</si>
  <si>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</si>
  <si>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</si>
  <si>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</si>
  <si>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</si>
  <si>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</si>
  <si>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</si>
  <si>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</si>
  <si>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</si>
  <si>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</si>
  <si>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</si>
  <si>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</si>
  <si>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</si>
  <si>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</si>
  <si>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</si>
  <si>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</si>
  <si>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</si>
  <si>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</si>
  <si>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</si>
  <si>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</si>
  <si>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</si>
  <si>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</si>
  <si>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</si>
  <si>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</si>
  <si>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</si>
  <si>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</si>
  <si>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</si>
  <si>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</si>
  <si>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</si>
  <si>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</si>
  <si>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</si>
  <si>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</si>
  <si>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</si>
  <si>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</si>
  <si>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</si>
  <si>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</si>
  <si>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</si>
  <si>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</si>
  <si>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</si>
  <si>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</si>
  <si>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</si>
  <si>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</si>
  <si>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</si>
  <si>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</si>
  <si>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</si>
  <si>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</si>
  <si>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</si>
  <si>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</si>
  <si>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</si>
  <si>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</si>
  <si>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</si>
  <si>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</si>
  <si>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</si>
  <si>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</si>
  <si>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</si>
  <si>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</si>
  <si>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</si>
  <si>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</si>
  <si>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</si>
  <si>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</si>
  <si>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</si>
  <si>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</si>
  <si>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</si>
  <si>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</si>
  <si>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</si>
  <si>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</si>
  <si>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</si>
  <si>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</si>
  <si>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</si>
  <si>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</si>
  <si>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</si>
  <si>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</si>
  <si>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</si>
  <si>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</si>
  <si>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</si>
  <si>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</si>
  <si>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</si>
  <si>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</si>
  <si>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</si>
  <si>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</si>
  <si>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</si>
  <si>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</si>
  <si>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</si>
  <si>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</si>
  <si>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</si>
  <si>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</si>
  <si>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</si>
  <si>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</si>
  <si>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</si>
  <si>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</si>
  <si>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</si>
  <si>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</si>
  <si>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</si>
  <si>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</si>
  <si>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</si>
  <si>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</si>
  <si>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</si>
  <si>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</si>
  <si>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</si>
  <si>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</si>
  <si>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</si>
  <si>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</si>
  <si>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</si>
  <si>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</si>
  <si>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</si>
  <si>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</si>
  <si>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</si>
  <si>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</si>
  <si>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</si>
  <si>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</si>
  <si>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</si>
  <si>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</si>
  <si>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</si>
  <si>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</si>
  <si>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</si>
  <si>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</si>
  <si>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</si>
  <si>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</si>
  <si>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</si>
  <si>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</si>
  <si>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</si>
  <si>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</si>
  <si>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</si>
  <si>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</si>
  <si>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</si>
  <si>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</si>
  <si>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</si>
  <si>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</si>
  <si>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</si>
  <si>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</si>
  <si>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</si>
  <si>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</si>
  <si>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</si>
  <si>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</si>
  <si>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</si>
  <si>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</si>
  <si>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</si>
  <si>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</si>
  <si>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</si>
  <si>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</si>
  <si>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</si>
  <si>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</si>
  <si>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</si>
  <si>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</si>
  <si>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</si>
  <si>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</si>
  <si>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</si>
  <si>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</si>
  <si>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</si>
  <si>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</si>
  <si>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</si>
  <si>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</si>
  <si>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</si>
  <si>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</si>
  <si>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</si>
  <si>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</si>
  <si>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</si>
  <si>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</si>
  <si>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</si>
  <si>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</si>
  <si>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</si>
  <si>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</si>
  <si>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</si>
  <si>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</si>
  <si>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</si>
  <si>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</si>
  <si>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</si>
  <si>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</si>
  <si>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</si>
  <si>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</si>
  <si>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</si>
  <si>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</si>
  <si>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</si>
  <si>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</si>
  <si>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</si>
  <si>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</si>
  <si>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</si>
  <si>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</si>
  <si>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</si>
  <si>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</si>
  <si>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</si>
  <si>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</si>
  <si>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</si>
  <si>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</si>
  <si>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</si>
  <si>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</si>
  <si>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</si>
  <si>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</si>
  <si>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</si>
  <si>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</si>
  <si>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</si>
  <si>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</si>
  <si>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</si>
  <si>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</si>
  <si>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</si>
  <si>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</si>
  <si>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</si>
  <si>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</si>
  <si>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</si>
  <si>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</si>
  <si>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</si>
  <si>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</si>
  <si>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</si>
  <si>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</si>
  <si>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</si>
  <si>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</si>
  <si>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</si>
  <si>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</si>
  <si>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</si>
  <si>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</si>
  <si>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</si>
  <si>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</si>
  <si>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</si>
  <si>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</si>
  <si>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</si>
  <si>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</si>
  <si>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</si>
  <si>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</si>
  <si>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</si>
  <si>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</si>
  <si>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</si>
  <si>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</si>
  <si>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</si>
  <si>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</si>
  <si>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</si>
  <si>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</si>
  <si>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</si>
  <si>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</si>
  <si>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</si>
  <si>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</si>
  <si>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</si>
  <si>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</si>
  <si>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</si>
  <si>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</si>
  <si>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</si>
  <si>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</si>
  <si>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</si>
  <si>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</si>
  <si>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</si>
  <si>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</si>
  <si>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</si>
  <si>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</si>
  <si>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</si>
  <si>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</si>
  <si>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</si>
  <si>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</si>
  <si>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</si>
  <si>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</si>
  <si>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</si>
  <si>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</si>
  <si>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</si>
  <si>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</si>
  <si>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</si>
  <si>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</si>
  <si>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</si>
  <si>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</si>
  <si>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</si>
  <si>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</si>
  <si>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</si>
  <si>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</si>
  <si>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</si>
  <si>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</si>
  <si>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</si>
  <si>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</si>
  <si>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</si>
  <si>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</si>
  <si>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</si>
  <si>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</si>
  <si>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</si>
  <si>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</si>
  <si>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</si>
  <si>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</si>
  <si>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</si>
  <si>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</si>
  <si>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</si>
  <si>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</si>
  <si>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</si>
  <si>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</si>
  <si>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</si>
  <si>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</si>
  <si>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</si>
  <si>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</si>
  <si>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</si>
  <si>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</si>
  <si>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</si>
  <si>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</si>
  <si>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</si>
  <si>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</si>
  <si>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</si>
  <si>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</si>
  <si>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</si>
  <si>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</si>
  <si>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</si>
  <si>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</si>
  <si>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</si>
  <si>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</si>
  <si>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</si>
  <si>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</si>
  <si>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</si>
  <si>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</si>
  <si>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</si>
  <si>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</si>
  <si>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</si>
  <si>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</si>
  <si>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</si>
  <si>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</si>
  <si>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</si>
  <si>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</si>
  <si>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</si>
  <si>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</si>
  <si>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</si>
  <si>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</si>
  <si>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</si>
  <si>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</si>
  <si>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</si>
  <si>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</si>
  <si>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</si>
  <si>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</si>
  <si>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</si>
  <si>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</si>
  <si>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</si>
  <si>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</si>
  <si>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</si>
  <si>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</si>
  <si>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</si>
  <si>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</si>
  <si>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</si>
  <si>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</si>
  <si>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</si>
  <si>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</si>
  <si>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</si>
  <si>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</si>
  <si>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</si>
  <si>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</si>
  <si>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</si>
  <si>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</si>
  <si>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</si>
  <si>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</si>
  <si>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</si>
  <si>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</si>
  <si>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</si>
  <si>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</si>
  <si>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</si>
  <si>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</si>
  <si>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</si>
  <si>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</si>
  <si>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</si>
  <si>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</si>
  <si>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</si>
  <si>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</si>
  <si>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</si>
  <si>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</si>
  <si>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</si>
  <si>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</si>
  <si>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</si>
  <si>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</si>
  <si>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</si>
  <si>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</si>
  <si>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</si>
  <si>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</si>
  <si>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</si>
  <si>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</si>
  <si>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</si>
  <si>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</si>
  <si>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</si>
  <si>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</si>
  <si>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</si>
  <si>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</si>
  <si>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</si>
  <si>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</si>
  <si>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</si>
  <si>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</si>
  <si>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</si>
  <si>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</si>
  <si>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</si>
  <si>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</si>
  <si>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</si>
  <si>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</si>
  <si>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</si>
  <si>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</si>
  <si>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</si>
  <si>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</si>
  <si>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</si>
  <si>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</si>
  <si>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</si>
  <si>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</si>
  <si>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</si>
  <si>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</si>
  <si>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</si>
  <si>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</si>
  <si>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</si>
  <si>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</si>
  <si>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</si>
  <si>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</si>
  <si>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</si>
  <si>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</si>
  <si>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</si>
  <si>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</si>
  <si>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</si>
  <si>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</si>
  <si>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</si>
  <si>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</si>
  <si>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</si>
  <si>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</si>
  <si>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</si>
  <si>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</si>
  <si>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</si>
  <si>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</si>
  <si>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</si>
  <si>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</si>
  <si>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</si>
  <si>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</si>
  <si>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</si>
  <si>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</si>
  <si>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</si>
  <si>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</si>
  <si>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</si>
  <si>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</si>
  <si>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</si>
  <si>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</si>
  <si>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</si>
  <si>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</si>
  <si>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</si>
  <si>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</si>
  <si>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</si>
  <si>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</si>
  <si>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</si>
  <si>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</si>
  <si>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</si>
  <si>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</si>
  <si>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</si>
  <si>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</si>
  <si>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</si>
  <si>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</si>
  <si>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</si>
  <si>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</si>
  <si>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</si>
  <si>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</si>
  <si>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</si>
  <si>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</si>
  <si>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</si>
  <si>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</si>
  <si>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</si>
  <si>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</si>
  <si>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</si>
  <si>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</si>
  <si>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</si>
  <si>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</si>
  <si>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</si>
  <si>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</si>
  <si>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</si>
  <si>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</si>
  <si>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</si>
  <si>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</si>
  <si>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</si>
  <si>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</si>
  <si>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</si>
  <si>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</si>
  <si>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</si>
  <si>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</si>
  <si>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</si>
  <si>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</si>
  <si>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</si>
  <si>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</si>
  <si>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</si>
  <si>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</si>
  <si>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</si>
  <si>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</si>
  <si>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</si>
  <si>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</si>
  <si>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</si>
  <si>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</si>
  <si>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</si>
  <si>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</si>
  <si>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</si>
  <si>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</si>
  <si>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</si>
  <si>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</si>
  <si>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</si>
  <si>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</si>
  <si>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</si>
  <si>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</si>
  <si>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</si>
  <si>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</si>
  <si>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</si>
  <si>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</si>
  <si>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</si>
  <si>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</si>
  <si>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</si>
  <si>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</si>
  <si>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</si>
  <si>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</si>
  <si>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</si>
  <si>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</si>
  <si>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</si>
  <si>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</si>
  <si>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</si>
  <si>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</si>
  <si>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</si>
  <si>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</si>
  <si>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</si>
  <si>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</si>
  <si>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</si>
  <si>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</si>
  <si>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</si>
  <si>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</si>
  <si>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</si>
  <si>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</si>
  <si>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</si>
  <si>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</si>
  <si>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</si>
  <si>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</si>
  <si>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</si>
  <si>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</si>
  <si>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</si>
  <si>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</si>
  <si>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</si>
  <si>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</si>
  <si>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</si>
  <si>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</si>
  <si>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</si>
  <si>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</si>
  <si>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</si>
  <si>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</si>
  <si>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</si>
  <si>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</si>
  <si>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</si>
  <si>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</si>
  <si>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</si>
  <si>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</si>
  <si>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</si>
  <si>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</si>
  <si>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</si>
  <si>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</si>
  <si>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</si>
  <si>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</si>
  <si>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</si>
  <si>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</si>
  <si>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</si>
  <si>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</si>
  <si>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</si>
  <si>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</si>
  <si>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</si>
  <si>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</si>
  <si>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</si>
  <si>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</si>
  <si>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</si>
  <si>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</si>
  <si>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</si>
  <si>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</si>
  <si>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</si>
  <si>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</si>
  <si>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</si>
  <si>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</si>
  <si>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</si>
  <si>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</si>
  <si>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</si>
  <si>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</si>
  <si>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</si>
  <si>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</si>
  <si>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</si>
  <si>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</si>
  <si>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</si>
  <si>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</si>
  <si>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</si>
  <si>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</si>
  <si>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</si>
  <si>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</si>
  <si>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</si>
  <si>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</si>
  <si>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</si>
  <si>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</si>
  <si>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</si>
  <si>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</si>
  <si>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</si>
  <si>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</si>
  <si>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</si>
  <si>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</si>
  <si>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</si>
  <si>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</si>
  <si>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</si>
  <si>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</si>
  <si>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</si>
  <si>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</si>
  <si>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</si>
  <si>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</si>
  <si>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</si>
  <si>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</si>
  <si>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</si>
  <si>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</si>
  <si>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</si>
  <si>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</si>
  <si>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</si>
  <si>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</si>
  <si>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</si>
  <si>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</si>
  <si>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</si>
  <si>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</si>
  <si>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</si>
  <si>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</si>
  <si>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</si>
  <si>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</si>
  <si>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</si>
  <si>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</si>
  <si>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</si>
  <si>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</si>
  <si>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</si>
  <si>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</si>
  <si>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</si>
  <si>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</si>
  <si>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</si>
  <si>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</si>
  <si>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</si>
  <si>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</si>
  <si>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</si>
  <si>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</si>
  <si>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</si>
  <si>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</si>
  <si>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</si>
  <si>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</si>
  <si>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</si>
  <si>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</si>
  <si>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</si>
  <si>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</si>
  <si>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</si>
  <si>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</si>
  <si>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</si>
  <si>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</si>
  <si>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</si>
  <si>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</si>
  <si>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</si>
  <si>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</si>
  <si>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</si>
  <si>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</si>
  <si>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</si>
  <si>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</si>
  <si>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</si>
  <si>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</si>
  <si>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</si>
  <si>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</si>
  <si>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</si>
  <si>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</si>
  <si>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</si>
  <si>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</si>
  <si>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</si>
  <si>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</si>
  <si>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</si>
  <si>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</si>
  <si>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</si>
  <si>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</si>
  <si>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</si>
  <si>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</si>
  <si>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</si>
  <si>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</si>
  <si>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</si>
  <si>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</si>
  <si>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</si>
  <si>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</si>
  <si>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</si>
  <si>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</si>
  <si>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</si>
  <si>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</si>
  <si>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</si>
  <si>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</si>
  <si>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</si>
  <si>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</si>
  <si>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</si>
  <si>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</si>
  <si>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</si>
  <si>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</si>
  <si>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</si>
  <si>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</si>
  <si>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</si>
  <si>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</si>
  <si>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</si>
  <si>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</si>
  <si>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</si>
  <si>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</si>
  <si>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</si>
  <si>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</si>
  <si>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</si>
  <si>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</si>
  <si>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</si>
  <si>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</si>
  <si>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</si>
  <si>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</si>
  <si>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</si>
  <si>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</si>
  <si>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</si>
  <si>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</si>
  <si>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</si>
  <si>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</si>
  <si>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</si>
  <si>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</si>
  <si>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</si>
  <si>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</si>
  <si>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</si>
  <si>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</si>
  <si>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</si>
  <si>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</si>
  <si>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</si>
  <si>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</si>
  <si>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</si>
  <si>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</si>
  <si>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</si>
  <si>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</si>
  <si>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</si>
  <si>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</si>
  <si>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</si>
  <si>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</si>
  <si>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</si>
  <si>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</si>
  <si>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</si>
  <si>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</si>
  <si>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</si>
  <si>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</si>
  <si>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</si>
  <si>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</si>
  <si>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</si>
  <si>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</si>
  <si>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</si>
  <si>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</si>
  <si>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</si>
  <si>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</si>
  <si>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</si>
  <si>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</si>
  <si>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</si>
  <si>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</si>
  <si>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</si>
  <si>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</si>
  <si>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</si>
  <si>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</si>
  <si>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</si>
  <si>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</si>
  <si>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</si>
  <si>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</si>
  <si>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</si>
  <si>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</si>
  <si>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</si>
  <si>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</si>
  <si>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</si>
  <si>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</si>
  <si>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</si>
  <si>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</si>
  <si>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</si>
  <si>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</si>
  <si>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</si>
  <si>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</si>
  <si>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</si>
  <si>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</si>
  <si>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</si>
  <si>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</si>
  <si>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</si>
  <si>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</si>
  <si>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</si>
  <si>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</si>
  <si>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</si>
  <si>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</si>
  <si>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</si>
  <si>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</si>
  <si>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</si>
  <si>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</si>
  <si>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</si>
  <si>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</si>
  <si>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</si>
  <si>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</si>
  <si>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</si>
  <si>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</si>
  <si>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</si>
  <si>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</si>
  <si>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</si>
  <si>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</si>
  <si>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</si>
  <si>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</si>
  <si>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</si>
  <si>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</si>
  <si>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</si>
  <si>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</si>
  <si>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</si>
  <si>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</si>
  <si>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</si>
  <si>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</si>
  <si>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</si>
  <si>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</si>
  <si>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</si>
  <si>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</si>
  <si>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</si>
  <si>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</si>
  <si>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</si>
  <si>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</si>
  <si>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</si>
  <si>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</si>
  <si>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</si>
  <si>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</si>
  <si>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</si>
  <si>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</si>
  <si>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</si>
  <si>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</si>
  <si>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</si>
  <si>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</si>
  <si>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</si>
  <si>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</si>
  <si>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</si>
  <si>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</si>
  <si>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</si>
  <si>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</si>
  <si>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</si>
  <si>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</si>
  <si>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</si>
  <si>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</si>
  <si>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</si>
  <si>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</si>
  <si>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</si>
  <si>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</si>
  <si>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</si>
  <si>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</si>
  <si>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</si>
  <si>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</si>
  <si>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</si>
  <si>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</si>
  <si>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</si>
  <si>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</si>
  <si>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</si>
  <si>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</si>
  <si>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</si>
  <si>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</si>
  <si>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</si>
  <si>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</si>
  <si>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</si>
  <si>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</si>
  <si>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</si>
  <si>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</si>
  <si>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</si>
  <si>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</si>
  <si>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</si>
  <si>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</si>
  <si>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</si>
  <si>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</si>
  <si>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</si>
  <si>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</si>
  <si>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</si>
  <si>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</si>
  <si>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</si>
  <si>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</si>
  <si>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</si>
  <si>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</si>
  <si>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</si>
  <si>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</si>
  <si>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</si>
  <si>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</si>
  <si>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</si>
  <si>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</si>
  <si>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</si>
  <si>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</si>
  <si>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</si>
  <si>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</si>
  <si>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</si>
  <si>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</si>
  <si>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</si>
  <si>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</si>
  <si>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</si>
  <si>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</si>
  <si>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</si>
  <si>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</si>
  <si>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</si>
  <si>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</si>
  <si>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</si>
  <si>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</si>
  <si>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</si>
  <si>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</si>
  <si>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</si>
  <si>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</si>
  <si>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</si>
  <si>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</si>
  <si>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</si>
  <si>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</si>
  <si>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</si>
  <si>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</si>
  <si>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</si>
  <si>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</si>
  <si>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</si>
  <si>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</si>
  <si>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</si>
  <si>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</si>
  <si>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</si>
  <si>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</si>
  <si>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</si>
  <si>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</si>
  <si>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</si>
  <si>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</si>
  <si>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</si>
  <si>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</si>
  <si>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</si>
  <si>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</si>
  <si>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</si>
  <si>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</si>
  <si>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</si>
  <si>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</si>
  <si>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</si>
  <si>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</si>
  <si>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</si>
  <si>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</si>
  <si>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</si>
  <si>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</si>
  <si>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</si>
  <si>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</si>
  <si>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</si>
  <si>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</si>
  <si>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</si>
  <si>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</si>
  <si>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</si>
  <si>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</si>
  <si>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</si>
  <si>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</si>
  <si>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</si>
  <si>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</si>
  <si>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</si>
  <si>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</si>
  <si>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</si>
  <si>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</si>
  <si>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</si>
  <si>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</si>
  <si>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</si>
  <si>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</si>
  <si>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</si>
  <si>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</si>
  <si>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</si>
  <si>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</si>
  <si>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</si>
  <si>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</si>
  <si>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</si>
  <si>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</si>
  <si>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</si>
  <si>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</si>
  <si>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</si>
  <si>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</si>
  <si>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</si>
  <si>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</si>
  <si>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</si>
  <si>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</si>
  <si>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</si>
  <si>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</si>
  <si>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</si>
  <si>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</si>
  <si>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</si>
  <si>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</si>
  <si>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</si>
  <si>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</si>
  <si>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</si>
  <si>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</si>
  <si>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</si>
  <si>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</si>
  <si>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</si>
  <si>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</si>
  <si>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</si>
  <si>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</si>
  <si>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</si>
  <si>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</si>
  <si>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</si>
  <si>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</si>
  <si>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</si>
  <si>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</si>
  <si>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</si>
  <si>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</si>
  <si>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</si>
  <si>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</si>
  <si>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</si>
  <si>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</si>
  <si>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</si>
  <si>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</si>
  <si>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</si>
  <si>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</si>
  <si>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</si>
  <si>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</si>
  <si>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</si>
  <si>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</si>
  <si>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</si>
  <si>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</si>
  <si>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</si>
  <si>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</si>
  <si>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</si>
  <si>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</si>
  <si>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</si>
  <si>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</si>
  <si>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</si>
  <si>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</si>
  <si>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</si>
  <si>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</si>
  <si>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</si>
  <si>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</si>
  <si>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</si>
  <si>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</si>
  <si>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</si>
  <si>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</si>
  <si>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</si>
  <si>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</si>
  <si>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</si>
  <si>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</si>
  <si>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</si>
  <si>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</si>
  <si>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</si>
  <si>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</si>
  <si>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</si>
  <si>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</si>
  <si>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</si>
  <si>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</si>
  <si>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</si>
  <si>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</si>
  <si>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</si>
  <si>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</si>
  <si>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</si>
  <si>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</si>
  <si>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</si>
  <si>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</si>
  <si>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</si>
  <si>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</si>
  <si>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</si>
  <si>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</si>
  <si>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</si>
  <si>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</si>
  <si>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</si>
  <si>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</si>
  <si>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</si>
  <si>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</si>
  <si>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</si>
  <si>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</si>
  <si>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</si>
  <si>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</si>
  <si>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</si>
  <si>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</si>
  <si>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</si>
  <si>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</si>
  <si>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</si>
  <si>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</si>
  <si>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</si>
  <si>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</si>
  <si>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</si>
  <si>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</si>
  <si>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</si>
  <si>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</si>
  <si>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</si>
  <si>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</si>
  <si>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</si>
  <si>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</si>
  <si>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</si>
  <si>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</si>
  <si>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</si>
  <si>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</si>
  <si>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</si>
  <si>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</si>
  <si>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</si>
  <si>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</si>
  <si>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</si>
  <si>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</si>
  <si>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</si>
  <si>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</si>
  <si>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</si>
  <si>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</si>
  <si>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</si>
  <si>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</si>
  <si>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</si>
  <si>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</si>
  <si>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</si>
  <si>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</si>
  <si>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</si>
  <si>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</si>
  <si>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</si>
  <si>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</si>
  <si>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</si>
  <si>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</si>
  <si>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</si>
  <si>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</si>
  <si>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</si>
  <si>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</si>
  <si>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</si>
  <si>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</si>
  <si>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</si>
  <si>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</si>
  <si>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</si>
  <si>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</si>
  <si>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</si>
  <si>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</si>
  <si>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</si>
  <si>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</si>
  <si>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</si>
  <si>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</si>
  <si>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</si>
  <si>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</si>
  <si>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</si>
  <si>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</si>
  <si>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</si>
  <si>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</si>
  <si>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</si>
  <si>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</si>
  <si>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</si>
  <si>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</si>
  <si>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</si>
  <si>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</si>
  <si>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</si>
  <si>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</si>
  <si>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</si>
  <si>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</si>
  <si>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</si>
  <si>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</si>
  <si>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</si>
  <si>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</si>
  <si>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</si>
  <si>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</si>
  <si>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</si>
  <si>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</si>
  <si>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</si>
  <si>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</si>
  <si>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</si>
  <si>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</si>
  <si>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</si>
  <si>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</si>
  <si>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</si>
  <si>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</si>
  <si>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</si>
  <si>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</si>
  <si>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</si>
  <si>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</si>
  <si>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</si>
  <si>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</si>
  <si>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</si>
  <si>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</si>
  <si>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</si>
  <si>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</si>
  <si>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</si>
  <si>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</si>
  <si>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</si>
  <si>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</si>
  <si>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</si>
  <si>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</si>
  <si>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</si>
  <si>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</si>
  <si>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</si>
  <si>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</si>
  <si>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</si>
  <si>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</si>
  <si>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</si>
  <si>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</si>
  <si>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</si>
  <si>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</si>
  <si>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</si>
  <si>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</si>
  <si>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</si>
  <si>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</si>
  <si>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</si>
  <si>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</si>
  <si>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</si>
  <si>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</si>
  <si>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</si>
  <si>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</si>
  <si>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</si>
  <si>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</si>
  <si>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</si>
  <si>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</si>
  <si>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</si>
  <si>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</si>
  <si>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</si>
  <si>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</si>
  <si>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</si>
  <si>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</si>
  <si>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</si>
  <si>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</si>
  <si>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</si>
  <si>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</si>
  <si>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</si>
  <si>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</si>
  <si>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</si>
  <si>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</si>
  <si>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</si>
  <si>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</si>
  <si>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</si>
  <si>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</si>
  <si>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</si>
  <si>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</si>
  <si>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</si>
  <si>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</si>
  <si>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</si>
  <si>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</si>
  <si>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</si>
  <si>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</si>
  <si>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</si>
  <si>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</si>
  <si>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</si>
  <si>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</si>
  <si>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</si>
  <si>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</si>
  <si>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</si>
  <si>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</si>
  <si>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</si>
  <si>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</si>
  <si>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</si>
  <si>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</si>
  <si>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</si>
  <si>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</si>
  <si>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</si>
  <si>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</si>
  <si>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</si>
  <si>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</si>
  <si>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</si>
  <si>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</si>
  <si>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</si>
  <si>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</si>
  <si>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</si>
  <si>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</si>
  <si>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</si>
  <si>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</si>
  <si>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</si>
  <si>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</si>
  <si>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</si>
  <si>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</si>
  <si>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</si>
  <si>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</si>
  <si>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</si>
  <si>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</si>
  <si>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</si>
  <si>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</si>
  <si>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</si>
  <si>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</si>
  <si>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</si>
  <si>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</si>
  <si>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</si>
  <si>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</si>
  <si>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</si>
  <si>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</si>
  <si>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</si>
  <si>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</si>
  <si>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</si>
  <si>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</si>
  <si>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</si>
  <si>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</si>
  <si>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</si>
  <si>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</si>
  <si>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</si>
  <si>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</si>
  <si>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</si>
  <si>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</si>
  <si>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</si>
  <si>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</si>
  <si>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</si>
  <si>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</si>
  <si>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</si>
  <si>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</si>
  <si>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</si>
  <si>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</si>
  <si>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</si>
  <si>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</si>
  <si>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</si>
  <si>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</si>
  <si>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</si>
  <si>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</si>
  <si>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</si>
  <si>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</si>
  <si>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</si>
  <si>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</si>
  <si>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</si>
  <si>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</si>
  <si>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</si>
  <si>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</si>
  <si>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</si>
  <si>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</si>
  <si>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</si>
  <si>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</si>
  <si>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</si>
  <si>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</si>
  <si>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</si>
  <si>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</si>
  <si>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</si>
  <si>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</si>
  <si>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</si>
  <si>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</si>
  <si>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</si>
  <si>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</si>
  <si>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</si>
  <si>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</si>
  <si>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</si>
  <si>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</si>
  <si>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</si>
  <si>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</si>
  <si>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</si>
  <si>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</si>
  <si>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</si>
  <si>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</si>
  <si>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</si>
  <si>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</si>
  <si>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</si>
  <si>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</si>
  <si>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</si>
  <si>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</si>
  <si>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</si>
  <si>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</si>
  <si>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</si>
  <si>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</si>
  <si>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</si>
  <si>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</si>
  <si>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</si>
  <si>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</si>
  <si>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</si>
  <si>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</si>
  <si>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</si>
  <si>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</si>
  <si>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</si>
  <si>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</si>
  <si>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</si>
  <si>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</si>
  <si>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</si>
  <si>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</si>
  <si>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</si>
  <si>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</si>
  <si>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</si>
  <si>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</si>
  <si>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</si>
  <si>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</si>
  <si>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</si>
  <si>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</si>
  <si>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</si>
  <si>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</si>
  <si>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</si>
  <si>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</si>
  <si>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</si>
  <si>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</si>
  <si>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</si>
  <si>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</si>
  <si>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</si>
  <si>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</si>
  <si>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</si>
  <si>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</si>
  <si>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</si>
  <si>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</si>
  <si>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</si>
  <si>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</si>
  <si>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</si>
  <si>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</si>
  <si>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</si>
  <si>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</si>
  <si>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</si>
  <si>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</si>
  <si>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</si>
  <si>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</si>
  <si>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</si>
  <si>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</si>
  <si>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</si>
  <si>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</si>
  <si>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</si>
  <si>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</si>
  <si>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</si>
  <si>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</si>
  <si>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</si>
  <si>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</si>
  <si>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</si>
  <si>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</si>
  <si>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</si>
  <si>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</si>
  <si>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</si>
  <si>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</si>
  <si>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</si>
  <si>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</si>
  <si>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</si>
  <si>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</si>
  <si>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</si>
  <si>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</si>
  <si>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</si>
  <si>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</si>
  <si>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</si>
  <si>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</si>
  <si>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</si>
  <si>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</si>
  <si>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</si>
  <si>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</si>
  <si>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</si>
  <si>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</si>
  <si>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</si>
  <si>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</si>
  <si>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</si>
  <si>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</si>
  <si>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</si>
  <si>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</si>
  <si>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</si>
  <si>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</si>
  <si>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</si>
  <si>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</si>
  <si>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</si>
  <si>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</si>
  <si>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</si>
  <si>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</si>
  <si>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</si>
  <si>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</si>
  <si>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</si>
  <si>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</si>
  <si>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</si>
  <si>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</si>
  <si>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</si>
  <si>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</si>
  <si>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</si>
  <si>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</si>
  <si>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</si>
  <si>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</si>
  <si>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</si>
  <si>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</si>
  <si>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</si>
  <si>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</si>
  <si>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</si>
  <si>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</si>
  <si>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</si>
  <si>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</si>
  <si>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</si>
  <si>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</si>
  <si>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</si>
  <si>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</si>
  <si>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</si>
  <si>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</si>
  <si>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</si>
  <si>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</si>
  <si>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</si>
  <si>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</si>
  <si>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</si>
  <si>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</si>
  <si>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</si>
  <si>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</si>
  <si>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</si>
  <si>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</si>
  <si>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</si>
  <si>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</si>
  <si>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</si>
  <si>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</si>
  <si>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</si>
  <si>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</si>
  <si>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</si>
  <si>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</si>
  <si>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</si>
  <si>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</si>
  <si>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</si>
  <si>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</si>
  <si>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</si>
  <si>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</si>
  <si>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</si>
  <si>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</si>
  <si>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</si>
  <si>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</si>
  <si>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</si>
  <si>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</si>
  <si>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</si>
  <si>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</si>
  <si>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</si>
  <si>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</si>
  <si>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</si>
  <si>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</si>
  <si>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</si>
  <si>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</si>
  <si>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</si>
  <si>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</si>
  <si>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</si>
  <si>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</si>
  <si>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</si>
  <si>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</si>
  <si>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</si>
  <si>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</si>
  <si>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</si>
  <si>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</si>
  <si>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</si>
  <si>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</si>
  <si>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</si>
  <si>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</si>
  <si>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</si>
  <si>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</si>
  <si>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</si>
  <si>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</si>
  <si>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</si>
  <si>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</si>
  <si>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</si>
  <si>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</si>
  <si>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</si>
  <si>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</si>
  <si>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</si>
  <si>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</si>
  <si>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</si>
  <si>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</si>
  <si>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</si>
  <si>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</si>
  <si>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</si>
  <si>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</si>
  <si>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</si>
  <si>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</si>
  <si>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</si>
  <si>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</si>
  <si>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</si>
  <si>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</si>
  <si>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</si>
  <si>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</si>
  <si>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</si>
  <si>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</si>
  <si>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</si>
  <si>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</si>
  <si>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</si>
  <si>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</si>
  <si>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</si>
  <si>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</si>
  <si>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</si>
  <si>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</si>
  <si>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</si>
  <si>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</si>
  <si>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</si>
  <si>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</si>
  <si>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</si>
  <si>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</si>
  <si>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</si>
  <si>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</si>
  <si>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</si>
  <si>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</si>
  <si>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</si>
  <si>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</si>
  <si>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</si>
  <si>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</si>
  <si>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</si>
  <si>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</si>
  <si>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</si>
  <si>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</si>
  <si>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</si>
  <si>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</si>
  <si>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</si>
  <si>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</si>
  <si>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</si>
  <si>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</si>
  <si>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</si>
  <si>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</si>
  <si>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</si>
  <si>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</si>
  <si>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</si>
  <si>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</si>
  <si>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</si>
  <si>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</si>
  <si>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</si>
  <si>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</si>
  <si>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</si>
  <si>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</si>
  <si>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</si>
  <si>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</si>
  <si>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</si>
  <si>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</si>
  <si>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</si>
  <si>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</si>
  <si>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</si>
  <si>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</si>
  <si>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</si>
  <si>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</si>
  <si>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</si>
  <si>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</si>
  <si>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</si>
  <si>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</si>
  <si>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</si>
  <si>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</si>
  <si>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</si>
  <si>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</si>
  <si>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</si>
  <si>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</si>
  <si>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</si>
  <si>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</si>
  <si>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</si>
  <si>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</si>
  <si>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</si>
  <si>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</si>
  <si>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</si>
  <si>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</si>
  <si>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</si>
  <si>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</si>
  <si>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</si>
  <si>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</si>
  <si>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</si>
  <si>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</si>
  <si>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</si>
  <si>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</si>
  <si>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</si>
  <si>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</si>
  <si>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</si>
  <si>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</si>
  <si>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</si>
  <si>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</si>
  <si>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</si>
  <si>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</si>
  <si>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</si>
  <si>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</si>
  <si>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</si>
  <si>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</si>
  <si>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</si>
  <si>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</si>
  <si>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</si>
  <si>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</si>
  <si>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</si>
  <si>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</si>
  <si>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</si>
  <si>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</si>
  <si>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</si>
  <si>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</si>
  <si>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</si>
  <si>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</si>
  <si>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</si>
  <si>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</si>
  <si>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</si>
  <si>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</si>
  <si>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</si>
  <si>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</si>
  <si>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</si>
  <si>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</si>
  <si>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</si>
  <si>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</si>
  <si>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</si>
  <si>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</si>
  <si>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</si>
  <si>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</si>
  <si>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</si>
  <si>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</si>
  <si>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</si>
  <si>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</si>
  <si>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</si>
  <si>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</si>
  <si>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</si>
  <si>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</si>
  <si>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</si>
  <si>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</si>
  <si>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</si>
  <si>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</si>
  <si>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</si>
  <si>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</si>
  <si>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</si>
  <si>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</si>
  <si>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</si>
  <si>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</si>
  <si>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</si>
  <si>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</si>
  <si>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</si>
  <si>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</si>
  <si>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</si>
  <si>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</si>
  <si>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</si>
  <si>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</si>
  <si>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</si>
  <si>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</si>
  <si>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</si>
  <si>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</si>
  <si>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</si>
  <si>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</si>
  <si>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</si>
  <si>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</si>
  <si>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</si>
  <si>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</si>
  <si>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</si>
  <si>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</si>
  <si>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</si>
  <si>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</si>
  <si>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</si>
  <si>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</si>
  <si>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</si>
  <si>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</si>
  <si>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</si>
  <si>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</si>
  <si>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</si>
  <si>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</si>
  <si>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</si>
  <si>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</si>
  <si>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</si>
  <si>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</si>
  <si>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</si>
  <si>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</si>
  <si>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</si>
  <si>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</si>
  <si>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</si>
  <si>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</si>
  <si>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</si>
  <si>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</si>
  <si>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</si>
  <si>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</si>
  <si>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</si>
  <si>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</si>
  <si>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</si>
  <si>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</si>
  <si>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</si>
  <si>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</si>
  <si>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</si>
  <si>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</si>
  <si>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</si>
  <si>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</si>
  <si>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</si>
  <si>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</si>
  <si>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</si>
  <si>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</si>
  <si>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</si>
  <si>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</si>
  <si>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</si>
  <si>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</si>
  <si>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</si>
  <si>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</si>
  <si>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</si>
  <si>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</si>
  <si>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</si>
  <si>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</si>
  <si>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</si>
  <si>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</si>
  <si>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</si>
  <si>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</si>
  <si>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</si>
  <si>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</si>
  <si>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</si>
  <si>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</si>
  <si>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</si>
  <si>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</si>
  <si>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</si>
  <si>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</si>
  <si>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</si>
  <si>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</si>
  <si>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</si>
  <si>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</si>
  <si>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</si>
  <si>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</si>
  <si>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</si>
  <si>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</si>
  <si>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</si>
  <si>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</si>
  <si>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</si>
  <si>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</si>
  <si>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</si>
  <si>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</si>
  <si>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</si>
  <si>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</si>
  <si>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</si>
  <si>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</si>
  <si>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</si>
  <si>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</si>
  <si>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</si>
  <si>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</si>
  <si>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</si>
  <si>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</si>
  <si>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</si>
  <si>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</si>
  <si>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</si>
  <si>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</si>
  <si>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</si>
  <si>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</si>
  <si>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</si>
  <si>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</si>
  <si>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</si>
  <si>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</si>
  <si>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</si>
  <si>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</si>
  <si>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</si>
  <si>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</si>
  <si>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</si>
  <si>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</si>
  <si>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</si>
  <si>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</si>
  <si>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</si>
  <si>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</si>
  <si>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</si>
  <si>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</si>
  <si>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</si>
  <si>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</si>
  <si>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</si>
  <si>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</si>
  <si>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</si>
  <si>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</si>
  <si>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</si>
  <si>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</si>
  <si>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</si>
  <si>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</si>
  <si>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</si>
  <si>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</si>
  <si>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</si>
  <si>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</si>
  <si>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</si>
  <si>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</si>
  <si>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</si>
  <si>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</si>
  <si>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</si>
  <si>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</si>
  <si>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</si>
  <si>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</si>
  <si>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</si>
  <si>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</si>
  <si>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</si>
  <si>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</si>
  <si>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</si>
  <si>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</si>
  <si>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</si>
  <si>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</si>
  <si>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</si>
  <si>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</si>
  <si>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</si>
  <si>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</si>
  <si>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</si>
  <si>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</si>
  <si>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</si>
  <si>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</si>
  <si>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</si>
  <si>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</si>
  <si>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</si>
  <si>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</si>
  <si>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</si>
  <si>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</si>
  <si>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</si>
  <si>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</si>
  <si>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</si>
  <si>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</si>
  <si>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</si>
  <si>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</si>
  <si>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</si>
  <si>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</si>
  <si>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</si>
  <si>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</si>
  <si>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</si>
  <si>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</si>
  <si>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</si>
  <si>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</si>
  <si>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</si>
  <si>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</si>
  <si>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</si>
  <si>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</si>
  <si>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</si>
  <si>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</si>
  <si>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</si>
  <si>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</si>
  <si>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</si>
  <si>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</si>
  <si>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</si>
  <si>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</si>
  <si>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</si>
  <si>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</si>
  <si>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</si>
  <si>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</si>
  <si>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</si>
  <si>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</si>
  <si>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</si>
  <si>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</si>
  <si>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</si>
  <si>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</si>
  <si>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</si>
  <si>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</si>
  <si>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</si>
  <si>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</si>
  <si>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</si>
  <si>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</si>
  <si>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</si>
  <si>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</si>
  <si>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</si>
  <si>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</si>
  <si>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</si>
  <si>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</si>
  <si>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</si>
  <si>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</si>
  <si>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</si>
  <si>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</si>
  <si>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</si>
  <si>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</si>
  <si>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</si>
  <si>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</si>
  <si>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</si>
  <si>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</si>
  <si>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</si>
  <si>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</si>
  <si>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</si>
  <si>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</si>
  <si>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</si>
  <si>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</si>
  <si>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</si>
  <si>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</si>
  <si>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</si>
  <si>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</si>
  <si>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</si>
  <si>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</si>
  <si>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</si>
  <si>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</si>
  <si>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</si>
  <si>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</si>
  <si>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</si>
  <si>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</si>
  <si>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</si>
  <si>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</si>
  <si>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</si>
  <si>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</si>
  <si>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</si>
  <si>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</si>
  <si>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</si>
  <si>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</si>
  <si>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</si>
  <si>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</si>
  <si>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</si>
  <si>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</si>
  <si>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</si>
  <si>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</si>
  <si>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</si>
  <si>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</si>
  <si>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</si>
  <si>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</si>
  <si>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</si>
  <si>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</si>
  <si>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</si>
  <si>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</si>
  <si>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</si>
  <si>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</si>
  <si>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</si>
  <si>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</si>
  <si>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</si>
  <si>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</si>
  <si>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</si>
  <si>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</si>
  <si>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</si>
  <si>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</si>
  <si>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</si>
  <si>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</si>
  <si>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</si>
  <si>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</si>
  <si>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</si>
  <si>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</si>
  <si>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</si>
  <si>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</si>
  <si>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</si>
  <si>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</si>
  <si>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</si>
  <si>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</si>
  <si>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</si>
  <si>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</si>
  <si>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</si>
  <si>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</si>
  <si>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</si>
  <si>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</si>
  <si>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</si>
  <si>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</si>
  <si>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</si>
  <si>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</si>
  <si>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</si>
  <si>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</si>
  <si>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</si>
  <si>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</si>
  <si>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</si>
  <si>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</si>
  <si>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</si>
  <si>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</si>
  <si>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</si>
  <si>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</si>
  <si>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</si>
  <si>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</si>
  <si>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</si>
  <si>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</si>
  <si>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</si>
  <si>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</si>
  <si>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</si>
  <si>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</si>
  <si>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</si>
  <si>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</si>
  <si>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</si>
  <si>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</si>
  <si>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</si>
  <si>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</si>
  <si>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</si>
  <si>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</si>
  <si>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</si>
  <si>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</si>
  <si>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</si>
  <si>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</si>
  <si>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</si>
  <si>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</si>
  <si>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</si>
  <si>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</si>
  <si>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</si>
  <si>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</si>
  <si>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</si>
  <si>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</si>
  <si>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</si>
  <si>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</si>
  <si>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</si>
  <si>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</si>
  <si>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</si>
  <si>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</si>
  <si>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</si>
  <si>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</si>
  <si>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</si>
  <si>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</si>
  <si>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</si>
  <si>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</si>
  <si>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</si>
  <si>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</si>
  <si>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</si>
  <si>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</si>
  <si>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</si>
  <si>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</si>
  <si>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</si>
  <si>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</si>
  <si>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</si>
  <si>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</si>
  <si>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</si>
  <si>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</si>
  <si>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</si>
  <si>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</si>
  <si>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</si>
  <si>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</si>
  <si>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</si>
  <si>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</si>
  <si>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</si>
  <si>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</si>
  <si>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</si>
  <si>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</si>
  <si>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</si>
  <si>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</si>
  <si>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</si>
  <si>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</si>
  <si>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</si>
  <si>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</si>
  <si>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</si>
  <si>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</si>
  <si>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</si>
  <si>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</si>
  <si>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</si>
  <si>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</si>
  <si>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</si>
  <si>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</si>
  <si>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</si>
  <si>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</si>
  <si>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</si>
  <si>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</si>
  <si>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</si>
  <si>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</si>
  <si>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</si>
  <si>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</si>
  <si>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</si>
  <si>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</si>
  <si>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</si>
  <si>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</si>
  <si>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</si>
  <si>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</si>
  <si>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</si>
  <si>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</si>
  <si>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</si>
  <si>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</si>
  <si>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</si>
  <si>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</si>
  <si>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</si>
  <si>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</si>
  <si>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</si>
  <si>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</si>
  <si>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</si>
  <si>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</si>
  <si>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</si>
  <si>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</si>
  <si>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</si>
  <si>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</si>
  <si>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</si>
  <si>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</si>
  <si>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</si>
  <si>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</si>
  <si>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</si>
  <si>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</si>
  <si>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</si>
  <si>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</si>
  <si>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</si>
  <si>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</si>
  <si>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</si>
  <si>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</si>
  <si>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</si>
  <si>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</si>
  <si>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</si>
  <si>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</si>
  <si>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</si>
  <si>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</si>
  <si>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</si>
  <si>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</si>
  <si>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</si>
  <si>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</si>
  <si>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</si>
  <si>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</si>
  <si>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</si>
  <si>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</si>
  <si>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</si>
  <si>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</si>
  <si>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</si>
  <si>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</si>
  <si>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</si>
  <si>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</si>
  <si>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</si>
  <si>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</si>
  <si>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</si>
  <si>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</si>
  <si>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</si>
  <si>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</si>
  <si>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</si>
  <si>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</si>
  <si>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</si>
  <si>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</si>
  <si>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</si>
  <si>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</si>
  <si>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</si>
  <si>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</si>
  <si>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</si>
  <si>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</si>
  <si>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</si>
  <si>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</si>
  <si>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</si>
  <si>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</si>
  <si>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</si>
  <si>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</si>
  <si>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</si>
  <si>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</si>
  <si>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</si>
  <si>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</si>
  <si>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</si>
  <si>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</si>
  <si>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</si>
  <si>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</si>
  <si>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</si>
  <si>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</si>
  <si>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</si>
  <si>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</si>
  <si>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</si>
  <si>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</si>
  <si>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</si>
  <si>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</si>
  <si>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</si>
  <si>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</si>
  <si>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</si>
  <si>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</si>
  <si>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</si>
  <si>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</si>
  <si>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</si>
  <si>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</si>
  <si>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</si>
  <si>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</si>
  <si>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</si>
  <si>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</si>
  <si>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</si>
  <si>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</si>
  <si>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</si>
  <si>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</si>
  <si>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</si>
  <si>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</si>
  <si>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</si>
  <si>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</si>
  <si>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</si>
  <si>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</si>
  <si>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</si>
  <si>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</si>
  <si>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</si>
  <si>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</si>
  <si>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</si>
  <si>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</si>
  <si>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</si>
  <si>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</si>
  <si>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</si>
  <si>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</si>
  <si>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</si>
  <si>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</si>
  <si>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</si>
  <si>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</si>
  <si>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</si>
  <si>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</si>
  <si>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</si>
  <si>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</si>
  <si>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</si>
  <si>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</si>
  <si>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</si>
  <si>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</si>
  <si>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</si>
  <si>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</si>
  <si>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</si>
  <si>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</si>
  <si>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</si>
  <si>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</si>
  <si>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</si>
  <si>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</si>
  <si>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</si>
  <si>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</si>
  <si>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</si>
  <si>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</si>
  <si>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</si>
  <si>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</si>
  <si>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</si>
  <si>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</si>
  <si>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</si>
  <si>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</si>
  <si>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</si>
  <si>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</si>
  <si>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</si>
  <si>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</si>
  <si>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</si>
  <si>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</si>
  <si>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</si>
  <si>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</si>
  <si>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</si>
  <si>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</si>
  <si>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</si>
  <si>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</si>
  <si>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</si>
  <si>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</si>
  <si>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</si>
  <si>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</si>
  <si>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</si>
  <si>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</si>
  <si>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</si>
  <si>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</si>
  <si>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</si>
  <si>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</si>
  <si>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</si>
  <si>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</si>
  <si>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</si>
  <si>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</si>
  <si>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</si>
  <si>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</si>
  <si>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</si>
  <si>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</si>
  <si>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</si>
  <si>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</si>
  <si>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</si>
  <si>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</si>
  <si>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</si>
  <si>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</si>
  <si>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</si>
  <si>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</si>
  <si>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</si>
  <si>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</si>
  <si>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</si>
  <si>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</si>
  <si>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</si>
  <si>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</si>
  <si>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</si>
  <si>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</si>
  <si>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</si>
  <si>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</si>
  <si>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</si>
  <si>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</si>
  <si>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</si>
  <si>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</si>
  <si>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</si>
  <si>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</si>
  <si>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</si>
  <si>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</si>
  <si>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</si>
  <si>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</si>
  <si>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</si>
  <si>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</si>
  <si>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</si>
  <si>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</si>
  <si>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</si>
  <si>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</si>
  <si>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</si>
  <si>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</si>
  <si>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</si>
  <si>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</si>
  <si>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</si>
  <si>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</si>
  <si>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</si>
  <si>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</si>
  <si>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</si>
  <si>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</si>
  <si>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</si>
  <si>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</si>
  <si>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</si>
  <si>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</si>
  <si>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</si>
  <si>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</si>
  <si>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</si>
  <si>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</si>
  <si>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</si>
  <si>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</si>
  <si>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</si>
  <si>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</si>
  <si>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</si>
  <si>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</si>
  <si>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</si>
  <si>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</si>
  <si>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</si>
  <si>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</si>
  <si>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</si>
  <si>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</si>
  <si>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</si>
  <si>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</si>
  <si>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</si>
  <si>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</si>
  <si>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</si>
  <si>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</si>
  <si>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</si>
  <si>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</si>
  <si>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</si>
  <si>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</si>
  <si>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</si>
  <si>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</si>
  <si>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</si>
  <si>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</si>
  <si>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</si>
  <si>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</si>
  <si>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</si>
  <si>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</si>
  <si>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</si>
  <si>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</si>
  <si>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</si>
  <si>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</si>
  <si>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</si>
  <si>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</si>
  <si>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</si>
  <si>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</si>
  <si>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</si>
  <si>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</si>
  <si>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</si>
  <si>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</si>
  <si>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</si>
  <si>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</si>
  <si>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</si>
  <si>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</si>
  <si>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</si>
  <si>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</si>
  <si>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</si>
  <si>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</si>
  <si>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</si>
  <si>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</si>
  <si>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</si>
  <si>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</si>
  <si>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</si>
  <si>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</si>
  <si>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</si>
  <si>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</si>
  <si>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</si>
  <si>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</si>
  <si>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</si>
  <si>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</si>
  <si>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</si>
  <si>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</si>
  <si>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</si>
  <si>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</si>
  <si>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</si>
  <si>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</si>
  <si>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</si>
  <si>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</si>
  <si>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</si>
  <si>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</si>
  <si>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</si>
  <si>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</si>
  <si>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</si>
  <si>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</si>
  <si>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</si>
  <si>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</si>
  <si>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</si>
  <si>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</si>
  <si>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</si>
  <si>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</si>
  <si>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</si>
  <si>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</si>
  <si>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</si>
  <si>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</si>
  <si>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</si>
  <si>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</si>
  <si>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</si>
  <si>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</si>
  <si>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</si>
  <si>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</si>
  <si>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</si>
  <si>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</si>
  <si>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</si>
  <si>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</si>
  <si>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</si>
  <si>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</si>
  <si>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</si>
  <si>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</si>
  <si>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</si>
  <si>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</si>
  <si>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</si>
  <si>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</si>
  <si>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</si>
  <si>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</si>
  <si>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</si>
  <si>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</si>
  <si>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</si>
  <si>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</si>
  <si>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</si>
  <si>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</si>
  <si>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</si>
  <si>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</si>
  <si>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</si>
  <si>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</si>
  <si>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</si>
  <si>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</si>
  <si>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</si>
  <si>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</si>
  <si>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</si>
  <si>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</si>
  <si>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</si>
  <si>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</si>
  <si>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</si>
  <si>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</si>
  <si>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</si>
  <si>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</si>
  <si>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</si>
  <si>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</si>
  <si>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</si>
  <si>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</si>
  <si>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</si>
  <si>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</si>
  <si>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</si>
  <si>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</si>
  <si>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</si>
  <si>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</si>
  <si>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</si>
  <si>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</si>
  <si>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</si>
  <si>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</si>
  <si>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</si>
  <si>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</si>
  <si>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</si>
  <si>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</si>
  <si>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</si>
  <si>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</si>
  <si>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</si>
  <si>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</si>
  <si>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</si>
  <si>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</si>
  <si>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</si>
  <si>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</si>
  <si>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</si>
  <si>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</si>
  <si>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</si>
  <si>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</si>
  <si>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</si>
  <si>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</si>
  <si>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</si>
  <si>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</si>
  <si>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</si>
  <si>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</si>
  <si>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</si>
  <si>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</si>
  <si>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</si>
  <si>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</si>
  <si>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</si>
  <si>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</si>
  <si>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</si>
  <si>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</si>
  <si>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</si>
  <si>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</si>
  <si>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</si>
  <si>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</si>
  <si>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</si>
  <si>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</si>
  <si>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</si>
  <si>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</si>
  <si>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</si>
  <si>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</si>
  <si>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</si>
  <si>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</si>
  <si>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</si>
  <si>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</si>
  <si>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</si>
  <si>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</si>
  <si>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</si>
  <si>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</si>
  <si>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</si>
  <si>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</si>
  <si>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</si>
  <si>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</si>
  <si>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</si>
  <si>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</si>
  <si>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</si>
  <si>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</si>
  <si>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</si>
  <si>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</si>
  <si>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</si>
  <si>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</si>
  <si>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</si>
  <si>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</si>
  <si>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</si>
  <si>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</si>
  <si>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</si>
  <si>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</si>
  <si>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</si>
  <si>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</si>
  <si>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</si>
  <si>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</si>
  <si>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</si>
  <si>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</si>
  <si>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</si>
  <si>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</si>
  <si>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</si>
  <si>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</si>
  <si>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</si>
  <si>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</si>
  <si>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</si>
  <si>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</si>
  <si>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</si>
  <si>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</si>
  <si>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</si>
  <si>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</si>
  <si>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</si>
  <si>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</si>
  <si>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</si>
  <si>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</si>
  <si>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</si>
  <si>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</si>
  <si>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</si>
  <si>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</si>
  <si>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</si>
  <si>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</si>
  <si>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</si>
  <si>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</si>
  <si>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</si>
  <si>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</si>
  <si>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</si>
  <si>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</si>
  <si>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</si>
  <si>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</si>
  <si>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</si>
  <si>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</si>
  <si>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</si>
  <si>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</si>
  <si>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</si>
  <si>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</si>
  <si>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</si>
  <si>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</si>
  <si>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</si>
  <si>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</si>
  <si>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</si>
  <si>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</si>
  <si>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</si>
  <si>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</si>
  <si>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</si>
  <si>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</si>
  <si>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</si>
  <si>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</si>
  <si>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</si>
  <si>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</si>
  <si>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</si>
  <si>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</si>
  <si>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</si>
  <si>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</si>
  <si>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</si>
  <si>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</si>
  <si>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</si>
  <si>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</si>
  <si>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</si>
  <si>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</si>
  <si>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</si>
  <si>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</si>
  <si>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</si>
  <si>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</si>
  <si>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</si>
  <si>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</si>
  <si>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</si>
  <si>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</si>
  <si>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</si>
  <si>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</si>
  <si>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</si>
  <si>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</si>
  <si>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</si>
  <si>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</si>
  <si>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</si>
  <si>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</si>
  <si>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</si>
  <si>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</si>
  <si>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</si>
  <si>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</si>
  <si>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</si>
  <si>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</si>
  <si>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</si>
  <si>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</si>
  <si>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</si>
  <si>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</si>
  <si>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</si>
  <si>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</si>
  <si>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</si>
  <si>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</si>
  <si>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</si>
  <si>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</si>
  <si>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</si>
  <si>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</si>
  <si>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</si>
  <si>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</si>
  <si>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</si>
  <si>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</si>
  <si>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</si>
  <si>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</si>
  <si>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</si>
  <si>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</si>
  <si>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</si>
  <si>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</si>
  <si>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</si>
  <si>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</si>
  <si>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</si>
  <si>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</si>
  <si>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</si>
  <si>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</si>
  <si>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</si>
  <si>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</si>
  <si>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</si>
  <si>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</si>
  <si>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</si>
  <si>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</si>
  <si>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</si>
  <si>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</si>
  <si>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</si>
  <si>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</si>
  <si>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</si>
  <si>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</si>
  <si>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</si>
  <si>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</si>
  <si>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</si>
  <si>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</si>
  <si>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</si>
  <si>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</si>
  <si>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</si>
  <si>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</si>
  <si>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</si>
  <si>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</si>
  <si>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</si>
  <si>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</si>
  <si>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</si>
  <si>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</si>
  <si>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</si>
  <si>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</si>
  <si>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</si>
  <si>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</si>
  <si>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</si>
  <si>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</si>
  <si>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</si>
  <si>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</si>
  <si>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</si>
  <si>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</si>
  <si>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</si>
  <si>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</si>
  <si>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</si>
  <si>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</si>
  <si>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</si>
  <si>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</si>
  <si>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</si>
  <si>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</si>
  <si>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</si>
  <si>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</si>
  <si>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</si>
  <si>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</si>
  <si>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</si>
  <si>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</si>
  <si>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</si>
  <si>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</si>
  <si>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</si>
  <si>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</si>
  <si>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</si>
  <si>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</si>
  <si>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</si>
  <si>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</si>
  <si>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</si>
  <si>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</si>
  <si>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</si>
  <si>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</si>
  <si>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</si>
  <si>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</si>
  <si>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</si>
  <si>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</si>
  <si>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</si>
  <si>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</si>
  <si>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</si>
  <si>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</si>
  <si>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</si>
  <si>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</si>
  <si>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</si>
  <si>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</si>
  <si>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</si>
  <si>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</si>
  <si>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</si>
  <si>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</si>
  <si>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</si>
  <si>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</si>
  <si>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</si>
  <si>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</si>
  <si>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</si>
  <si>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</si>
  <si>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</si>
  <si>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</si>
  <si>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</si>
  <si>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</si>
  <si>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</si>
  <si>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</si>
  <si>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</si>
  <si>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</si>
  <si>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</si>
  <si>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</si>
  <si>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</si>
  <si>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</si>
  <si>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</si>
  <si>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</si>
  <si>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</si>
  <si>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</si>
  <si>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</si>
  <si>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</si>
  <si>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</si>
  <si>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</si>
  <si>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</si>
  <si>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</si>
  <si>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</si>
  <si>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</si>
  <si>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</si>
  <si>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</si>
  <si>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</si>
  <si>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</si>
  <si>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</si>
  <si>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</si>
  <si>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</si>
  <si>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</si>
  <si>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</si>
  <si>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</si>
  <si>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</si>
  <si>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</si>
  <si>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</si>
  <si>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</si>
  <si>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</si>
  <si>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</si>
  <si>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</si>
  <si>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</si>
  <si>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</si>
  <si>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</si>
  <si>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</si>
  <si>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</si>
  <si>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</si>
  <si>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</si>
  <si>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</si>
  <si>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</si>
  <si>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</si>
  <si>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</si>
  <si>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</si>
  <si>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</si>
  <si>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</si>
  <si>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</si>
  <si>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</si>
  <si>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</si>
  <si>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</si>
  <si>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</si>
  <si>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</si>
  <si>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</si>
  <si>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</si>
  <si>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</si>
  <si>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</si>
  <si>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</si>
  <si>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</si>
  <si>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</si>
  <si>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</si>
  <si>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</si>
  <si>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</si>
  <si>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</si>
  <si>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</si>
  <si>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</si>
  <si>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</si>
  <si>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</si>
  <si>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</si>
  <si>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</si>
  <si>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</si>
  <si>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</si>
  <si>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</si>
  <si>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</si>
  <si>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</si>
  <si>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</si>
  <si>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</si>
  <si>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</si>
  <si>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</si>
  <si>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</si>
  <si>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</si>
  <si>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</si>
  <si>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</si>
  <si>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</si>
  <si>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</si>
  <si>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</si>
  <si>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</si>
  <si>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</si>
  <si>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</si>
  <si>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</si>
  <si>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</si>
  <si>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</si>
  <si>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</si>
  <si>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</si>
  <si>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</si>
  <si>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</si>
  <si>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</si>
  <si>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</si>
  <si>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</si>
  <si>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</si>
  <si>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</si>
  <si>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</si>
  <si>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</si>
  <si>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</si>
  <si>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</si>
  <si>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</si>
  <si>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</si>
  <si>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</si>
  <si>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</si>
  <si>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</si>
  <si>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</si>
  <si>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</si>
  <si>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</si>
  <si>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</si>
  <si>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</si>
  <si>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</si>
  <si>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</si>
  <si>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</si>
  <si>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</si>
  <si>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</si>
  <si>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</si>
  <si>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</si>
  <si>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</si>
  <si>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</si>
  <si>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</si>
  <si>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</si>
  <si>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</si>
  <si>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</si>
  <si>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</si>
  <si>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</si>
  <si>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</si>
  <si>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</si>
  <si>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</si>
  <si>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</si>
  <si>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</si>
  <si>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</si>
  <si>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</si>
  <si>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</si>
  <si>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</si>
  <si>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</si>
  <si>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</si>
  <si>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</si>
  <si>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</si>
  <si>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</si>
  <si>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</si>
  <si>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</si>
  <si>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</si>
  <si>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</si>
  <si>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</si>
  <si>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</si>
  <si>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</si>
  <si>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</si>
  <si>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</si>
  <si>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</si>
  <si>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</si>
  <si>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</si>
  <si>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</si>
  <si>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</si>
  <si>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</si>
  <si>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</si>
  <si>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</si>
  <si>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</si>
  <si>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</si>
  <si>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</si>
  <si>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</si>
  <si>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</si>
  <si>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</si>
  <si>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</si>
  <si>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</si>
  <si>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</si>
  <si>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</si>
  <si>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</si>
  <si>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</si>
  <si>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</si>
  <si>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</si>
  <si>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</si>
  <si>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</si>
  <si>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</si>
  <si>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</si>
  <si>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</si>
  <si>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</si>
  <si>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</si>
  <si>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</si>
  <si>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</si>
  <si>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</si>
  <si>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</si>
  <si>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</si>
  <si>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</si>
  <si>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</si>
  <si>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</si>
  <si>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</si>
  <si>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</si>
  <si>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</si>
  <si>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</si>
  <si>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</si>
  <si>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</si>
  <si>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</si>
  <si>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</si>
  <si>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</si>
  <si>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</si>
  <si>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</si>
  <si>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</si>
  <si>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</si>
  <si>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</si>
  <si>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</si>
  <si>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</si>
  <si>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</si>
  <si>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</si>
  <si>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</si>
  <si>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</si>
  <si>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</si>
  <si>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</si>
  <si>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</si>
  <si>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</si>
  <si>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</si>
  <si>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</si>
  <si>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</si>
  <si>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</si>
  <si>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</si>
  <si>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</si>
  <si>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</si>
  <si>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</si>
  <si>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</si>
  <si>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</si>
  <si>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</si>
  <si>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</si>
  <si>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</si>
  <si>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</si>
  <si>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</si>
  <si>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</si>
  <si>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</si>
  <si>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</si>
  <si>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</si>
  <si>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</si>
  <si>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</si>
  <si>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</si>
  <si>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</si>
  <si>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</si>
  <si>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</si>
  <si>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</si>
  <si>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</si>
  <si>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</si>
  <si>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</si>
  <si>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</si>
  <si>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</si>
  <si>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</si>
  <si>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</si>
  <si>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</si>
  <si>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</si>
  <si>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</si>
  <si>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</si>
  <si>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</si>
  <si>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</si>
  <si>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</si>
  <si>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</si>
  <si>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</si>
  <si>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</si>
  <si>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</si>
  <si>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</si>
  <si>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</si>
  <si>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</si>
  <si>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</si>
  <si>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</si>
  <si>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</si>
  <si>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</si>
  <si>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</si>
  <si>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</si>
  <si>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</si>
  <si>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</si>
  <si>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</si>
  <si>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</si>
  <si>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</si>
  <si>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</si>
  <si>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</si>
  <si>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</si>
  <si>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</si>
  <si>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</si>
  <si>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</si>
  <si>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</si>
  <si>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</si>
  <si>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</si>
  <si>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</si>
  <si>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</si>
  <si>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</si>
  <si>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</si>
  <si>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</si>
  <si>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</si>
  <si>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</si>
  <si>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</si>
  <si>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</si>
  <si>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</si>
  <si>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</si>
  <si>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</si>
  <si>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</si>
  <si>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</si>
  <si>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</si>
  <si>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</si>
  <si>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</si>
  <si>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</si>
  <si>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</si>
  <si>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</si>
  <si>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</si>
  <si>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</si>
  <si>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</si>
  <si>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</si>
  <si>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</si>
  <si>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</si>
  <si>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</si>
  <si>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</si>
  <si>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</si>
  <si>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</si>
  <si>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</si>
  <si>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</si>
  <si>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</si>
  <si>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</si>
  <si>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</si>
  <si>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</si>
  <si>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</si>
  <si>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</si>
  <si>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</si>
  <si>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</si>
  <si>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</si>
  <si>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</si>
  <si>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</si>
  <si>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</si>
  <si>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</si>
  <si>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</si>
  <si>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</si>
  <si>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</si>
  <si>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</si>
  <si>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</si>
  <si>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</si>
  <si>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</si>
  <si>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</si>
  <si>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</si>
  <si>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</si>
  <si>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</si>
  <si>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</si>
  <si>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</si>
  <si>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</si>
  <si>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</si>
  <si>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</si>
  <si>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</si>
  <si>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</si>
  <si>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</si>
  <si>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</si>
  <si>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</si>
  <si>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</si>
  <si>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</si>
  <si>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</si>
  <si>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</si>
  <si>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</si>
  <si>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</si>
  <si>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</si>
  <si>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</si>
  <si>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</si>
  <si>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</si>
  <si>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</si>
  <si>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</si>
  <si>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</si>
  <si>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</si>
  <si>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</si>
  <si>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</si>
  <si>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</si>
  <si>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</si>
  <si>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</si>
  <si>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</si>
  <si>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</si>
  <si>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</si>
  <si>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</si>
  <si>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</si>
  <si>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</si>
  <si>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</si>
  <si>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</si>
  <si>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</si>
  <si>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</si>
  <si>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</si>
  <si>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</si>
  <si>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</si>
  <si>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</si>
  <si>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</si>
  <si>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</si>
  <si>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</si>
  <si>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</si>
  <si>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</si>
  <si>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</si>
  <si>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</si>
  <si>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</si>
  <si>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</si>
  <si>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</si>
  <si>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</si>
  <si>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</si>
  <si>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</si>
  <si>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</si>
  <si>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</si>
  <si>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</si>
  <si>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</si>
  <si>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</si>
  <si>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</si>
  <si>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</si>
  <si>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</si>
  <si>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</si>
  <si>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</si>
  <si>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</si>
  <si>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</si>
  <si>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</si>
  <si>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</si>
  <si>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</si>
  <si>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</si>
  <si>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</si>
  <si>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</si>
  <si>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</si>
  <si>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</si>
  <si>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</si>
  <si>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</si>
  <si>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</si>
  <si>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</si>
  <si>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</si>
  <si>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</si>
  <si>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</si>
  <si>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</si>
  <si>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</si>
  <si>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</si>
  <si>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</si>
  <si>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</si>
  <si>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</si>
  <si>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</si>
  <si>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</si>
  <si>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</si>
  <si>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</si>
  <si>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</si>
  <si>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</si>
  <si>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</si>
  <si>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</si>
  <si>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</si>
  <si>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</si>
  <si>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</si>
  <si>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</si>
  <si>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</si>
  <si>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</si>
  <si>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</si>
  <si>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</si>
  <si>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</si>
  <si>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</si>
  <si>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</si>
  <si>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</si>
  <si>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</si>
  <si>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</si>
  <si>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</si>
  <si>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</si>
  <si>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</si>
  <si>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</si>
  <si>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</si>
  <si>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</si>
  <si>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</si>
  <si>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</si>
  <si>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</si>
  <si>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</si>
  <si>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</si>
  <si>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</si>
  <si>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</si>
  <si>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</si>
  <si>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</si>
  <si>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</si>
  <si>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</si>
  <si>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</si>
  <si>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</si>
  <si>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</si>
  <si>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</si>
  <si>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</si>
  <si>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</si>
  <si>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</si>
  <si>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</si>
  <si>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</si>
  <si>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</si>
  <si>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</si>
  <si>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</si>
  <si>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</si>
  <si>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</si>
  <si>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</si>
  <si>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</si>
  <si>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</si>
  <si>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</si>
  <si>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</si>
  <si>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</si>
  <si>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</si>
  <si>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</si>
  <si>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</si>
  <si>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</si>
  <si>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</si>
  <si>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</si>
  <si>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</si>
  <si>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</si>
  <si>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</si>
  <si>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</si>
  <si>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</si>
  <si>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</si>
  <si>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</si>
  <si>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</si>
  <si>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</si>
  <si>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</si>
  <si>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</si>
  <si>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</si>
  <si>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</si>
  <si>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</si>
  <si>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</si>
  <si>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</si>
  <si>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</si>
  <si>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</si>
  <si>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</si>
  <si>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</si>
  <si>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</si>
  <si>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</si>
  <si>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</si>
  <si>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</si>
  <si>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</si>
  <si>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</si>
  <si>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</si>
  <si>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</si>
  <si>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</si>
  <si>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</si>
  <si>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</si>
  <si>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</si>
  <si>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</si>
  <si>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</si>
  <si>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</si>
  <si>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</si>
  <si>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</si>
  <si>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</si>
  <si>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</si>
  <si>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</si>
  <si>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</si>
  <si>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</si>
  <si>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</si>
  <si>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</si>
  <si>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</si>
  <si>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</si>
  <si>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</si>
  <si>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</si>
  <si>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</si>
  <si>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</si>
  <si>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</si>
  <si>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</si>
  <si>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</si>
  <si>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</si>
  <si>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</si>
  <si>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</si>
  <si>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</si>
  <si>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</si>
  <si>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</si>
  <si>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</si>
  <si>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</si>
  <si>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</si>
  <si>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</si>
  <si>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</si>
  <si>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</si>
  <si>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</si>
  <si>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</si>
  <si>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</si>
  <si>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</si>
  <si>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</si>
  <si>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</si>
  <si>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</si>
  <si>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</si>
  <si>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</si>
  <si>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</si>
  <si>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</si>
  <si>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</si>
  <si>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</si>
  <si>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</si>
  <si>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</si>
  <si>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</si>
  <si>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</si>
  <si>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</si>
  <si>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</si>
  <si>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</si>
  <si>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</si>
  <si>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</si>
  <si>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</si>
  <si>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</si>
  <si>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</si>
  <si>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</si>
  <si>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</si>
  <si>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</si>
  <si>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</si>
  <si>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</si>
  <si>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</si>
  <si>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</si>
  <si>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</si>
  <si>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</si>
  <si>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</si>
  <si>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</si>
  <si>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</si>
  <si>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</si>
  <si>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</si>
  <si>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</si>
  <si>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</si>
  <si>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</si>
  <si>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</si>
  <si>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</si>
  <si>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</si>
  <si>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</si>
  <si>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</si>
  <si>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</si>
  <si>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</si>
  <si>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</si>
  <si>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</si>
  <si>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</si>
  <si>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</si>
  <si>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</si>
  <si>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</si>
  <si>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</si>
  <si>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</si>
  <si>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</si>
  <si>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</si>
  <si>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</si>
  <si>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</si>
  <si>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</si>
  <si>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</si>
  <si>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</si>
  <si>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</si>
  <si>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</si>
  <si>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</si>
  <si>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</si>
  <si>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</si>
  <si>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</si>
  <si>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</si>
  <si>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</si>
  <si>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</si>
  <si>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</si>
  <si>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</si>
  <si>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</si>
  <si>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</si>
  <si>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</si>
  <si>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</si>
  <si>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</si>
  <si>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</si>
  <si>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</si>
  <si>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</si>
  <si>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</si>
  <si>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</si>
  <si>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</si>
  <si>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</si>
  <si>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</si>
  <si>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</si>
  <si>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</si>
  <si>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</si>
  <si>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</si>
  <si>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</si>
  <si>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</si>
  <si>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</si>
  <si>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</si>
  <si>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</si>
  <si>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</si>
  <si>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</si>
  <si>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</si>
  <si>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</si>
  <si>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</si>
  <si>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</si>
  <si>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</si>
  <si>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</si>
  <si>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</si>
  <si>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</si>
  <si>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</si>
  <si>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</si>
  <si>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</si>
  <si>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</si>
  <si>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</si>
  <si>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</si>
  <si>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</si>
  <si>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</si>
  <si>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</si>
  <si>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</si>
  <si>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</si>
  <si>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</si>
  <si>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</si>
  <si>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</si>
  <si>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</si>
  <si>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</si>
  <si>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</si>
  <si>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</si>
  <si>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</si>
  <si>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</si>
  <si>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</si>
  <si>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</si>
  <si>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</si>
  <si>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</si>
  <si>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</si>
  <si>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</si>
  <si>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</si>
  <si>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</si>
  <si>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</si>
  <si>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</si>
  <si>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</si>
  <si>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</si>
  <si>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</si>
  <si>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</si>
  <si>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</si>
  <si>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</si>
  <si>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</si>
  <si>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</si>
  <si>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</si>
  <si>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</si>
  <si>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</si>
  <si>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</si>
  <si>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</si>
  <si>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</si>
  <si>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</si>
  <si>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</si>
  <si>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</si>
  <si>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</si>
  <si>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</si>
  <si>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</si>
  <si>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</si>
  <si>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</si>
  <si>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</si>
  <si>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</si>
  <si>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</si>
  <si>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</si>
  <si>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</si>
  <si>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</si>
  <si>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</si>
  <si>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</si>
  <si>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</si>
  <si>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</si>
  <si>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</si>
  <si>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</si>
  <si>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</si>
  <si>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</si>
  <si>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</si>
  <si>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</si>
  <si>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</si>
  <si>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</si>
  <si>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</si>
  <si>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</si>
  <si>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</si>
  <si>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</si>
  <si>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</si>
  <si>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</si>
  <si>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</si>
  <si>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</si>
  <si>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</si>
  <si>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</si>
  <si>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</si>
  <si>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</si>
  <si>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</si>
  <si>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</si>
  <si>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</si>
  <si>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</si>
  <si>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</si>
  <si>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</si>
  <si>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</si>
  <si>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</si>
  <si>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</si>
  <si>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</si>
  <si>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</si>
  <si>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</si>
  <si>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</si>
  <si>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</si>
  <si>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</si>
  <si>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</si>
  <si>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</si>
  <si>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</si>
  <si>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</si>
  <si>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</si>
  <si>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</si>
  <si>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</si>
  <si>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</si>
  <si>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</si>
  <si>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</si>
  <si>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</si>
  <si>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</si>
  <si>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</si>
  <si>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</si>
  <si>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</si>
  <si>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</si>
  <si>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</si>
  <si>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</si>
  <si>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</si>
  <si>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</si>
  <si>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</si>
  <si>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</si>
  <si>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</si>
  <si>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</si>
  <si>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</si>
  <si>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</si>
  <si>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</si>
  <si>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</si>
  <si>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</si>
  <si>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</si>
  <si>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</si>
  <si>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</si>
  <si>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</si>
  <si>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</si>
  <si>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</si>
  <si>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</si>
  <si>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</si>
  <si>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</si>
  <si>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</si>
  <si>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</si>
  <si>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</si>
  <si>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</si>
  <si>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</si>
  <si>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</si>
  <si>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</si>
  <si>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</si>
  <si>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</si>
  <si>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</si>
  <si>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</si>
  <si>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</si>
  <si>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</si>
  <si>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</si>
  <si>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</si>
  <si>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</si>
  <si>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</si>
  <si>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</si>
  <si>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</si>
  <si>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</si>
  <si>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</si>
  <si>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</si>
  <si>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</si>
  <si>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</si>
  <si>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</si>
  <si>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</si>
  <si>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</si>
  <si>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</si>
  <si>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</si>
  <si>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</si>
  <si>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</si>
  <si>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</si>
  <si>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</si>
  <si>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</si>
  <si>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</si>
  <si>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</si>
  <si>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</si>
  <si>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</si>
  <si>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</si>
  <si>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</si>
  <si>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</si>
  <si>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</si>
  <si>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</si>
  <si>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</si>
  <si>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</si>
  <si>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</si>
  <si>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</si>
  <si>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</si>
  <si>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</si>
  <si>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</si>
  <si>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</si>
  <si>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</si>
  <si>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</si>
  <si>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</si>
  <si>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</si>
  <si>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</si>
  <si>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</si>
  <si>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</si>
  <si>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</si>
  <si>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</si>
  <si>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</si>
  <si>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</si>
  <si>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</si>
  <si>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</si>
  <si>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</si>
  <si>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</si>
  <si>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</si>
  <si>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</si>
  <si>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</si>
  <si>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</si>
  <si>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</si>
  <si>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</si>
  <si>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</si>
  <si>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</si>
  <si>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</si>
  <si>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</si>
  <si>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</si>
  <si>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</si>
  <si>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</si>
  <si>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</si>
  <si>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</si>
  <si>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</si>
  <si>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</si>
  <si>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</si>
  <si>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</si>
  <si>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</si>
  <si>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</si>
  <si>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</si>
  <si>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</si>
  <si>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</si>
  <si>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</si>
  <si>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</si>
  <si>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</si>
  <si>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</si>
  <si>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</si>
  <si>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</si>
  <si>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</si>
  <si>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</si>
  <si>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</si>
  <si>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</si>
  <si>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</si>
  <si>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</si>
  <si>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</si>
  <si>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</si>
  <si>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</si>
  <si>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</si>
  <si>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</si>
  <si>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</si>
  <si>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</si>
  <si>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</si>
  <si>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</si>
  <si>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</si>
  <si>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</si>
  <si>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</si>
  <si>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</si>
  <si>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</si>
  <si>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</si>
  <si>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</si>
  <si>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</si>
  <si>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</si>
  <si>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</si>
  <si>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</si>
  <si>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</si>
  <si>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</si>
  <si>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</si>
  <si>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</si>
  <si>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</si>
  <si>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</si>
  <si>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</si>
  <si>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</si>
  <si>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</si>
  <si>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</si>
  <si>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</si>
  <si>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</si>
  <si>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</si>
  <si>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</si>
  <si>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</si>
  <si>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</si>
  <si>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</si>
  <si>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</si>
  <si>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</si>
  <si>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</si>
  <si>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</si>
  <si>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</si>
  <si>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</si>
  <si>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</si>
  <si>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</si>
  <si>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</si>
  <si>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</si>
  <si>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</si>
  <si>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</si>
  <si>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</si>
  <si>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</si>
  <si>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</si>
  <si>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</si>
  <si>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</si>
  <si>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</si>
  <si>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</si>
  <si>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</si>
  <si>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</si>
  <si>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</si>
  <si>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</si>
  <si>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</si>
  <si>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</si>
  <si>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</si>
  <si>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</si>
  <si>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</si>
  <si>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</si>
  <si>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</si>
  <si>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</si>
  <si>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</si>
  <si>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</si>
  <si>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</si>
  <si>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</si>
  <si>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</si>
  <si>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</si>
  <si>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</si>
  <si>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</si>
  <si>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</si>
  <si>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</si>
  <si>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</si>
  <si>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</si>
  <si>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</si>
  <si>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</si>
  <si>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</si>
  <si>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</si>
  <si>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</si>
  <si>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</si>
  <si>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</si>
  <si>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</si>
  <si>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</si>
  <si>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</si>
  <si>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</si>
  <si>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</si>
  <si>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</si>
  <si>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</si>
  <si>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</si>
  <si>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</si>
  <si>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</si>
  <si>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</si>
  <si>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</si>
  <si>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</si>
  <si>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</si>
  <si>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</si>
  <si>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</si>
  <si>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</si>
  <si>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</si>
  <si>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</si>
  <si>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</si>
  <si>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</si>
  <si>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</si>
  <si>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</si>
  <si>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</si>
  <si>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</si>
  <si>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</si>
  <si>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</si>
  <si>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</si>
  <si>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</si>
  <si>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</si>
  <si>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</si>
  <si>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</si>
  <si>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</si>
  <si>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</si>
  <si>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</si>
  <si>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</si>
  <si>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</si>
  <si>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</si>
  <si>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</si>
  <si>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</si>
  <si>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</si>
  <si>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</si>
  <si>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</si>
  <si>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</si>
  <si>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</si>
  <si>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</si>
  <si>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</si>
  <si>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</si>
  <si>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</si>
  <si>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</si>
  <si>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</si>
  <si>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</si>
  <si>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</si>
  <si>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</si>
  <si>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</si>
  <si>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</si>
  <si>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</si>
  <si>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</si>
  <si>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</si>
  <si>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</si>
  <si>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</si>
  <si>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</si>
  <si>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</si>
  <si>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</si>
  <si>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</si>
  <si>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</si>
  <si>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</si>
  <si>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</si>
  <si>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</si>
  <si>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</si>
  <si>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</si>
  <si>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</si>
  <si>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</si>
  <si>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</si>
  <si>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</si>
  <si>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</si>
  <si>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</si>
  <si>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</si>
  <si>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</si>
  <si>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</si>
  <si>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</si>
  <si>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</si>
  <si>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</si>
  <si>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</si>
  <si>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</si>
  <si>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</si>
  <si>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</si>
  <si>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</si>
  <si>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</si>
  <si>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</si>
  <si>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</si>
  <si>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</si>
  <si>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</si>
  <si>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</si>
  <si>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</si>
  <si>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</si>
  <si>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</si>
  <si>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</si>
  <si>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</si>
  <si>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</si>
  <si>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</si>
  <si>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</si>
  <si>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</si>
  <si>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</si>
  <si>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</si>
  <si>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</si>
  <si>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</si>
  <si>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</si>
  <si>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</si>
  <si>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</si>
  <si>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</si>
  <si>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</si>
  <si>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</si>
  <si>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</si>
  <si>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</si>
  <si>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</si>
  <si>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</si>
  <si>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</si>
  <si>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</si>
  <si>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</si>
  <si>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</si>
  <si>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</si>
  <si>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</si>
  <si>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</si>
  <si>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</si>
  <si>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</si>
  <si>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</si>
  <si>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</si>
  <si>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</si>
  <si>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</si>
  <si>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</si>
  <si>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</si>
  <si>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</si>
  <si>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</si>
  <si>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</si>
  <si>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</si>
  <si>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</si>
  <si>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</si>
  <si>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</si>
  <si>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</si>
  <si>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</si>
  <si>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</si>
  <si>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</si>
  <si>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</si>
  <si>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</si>
  <si>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</si>
  <si>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</si>
  <si>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</si>
  <si>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</si>
  <si>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</si>
  <si>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</si>
  <si>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</si>
  <si>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</si>
  <si>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</si>
  <si>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</si>
  <si>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</si>
  <si>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</si>
  <si>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</si>
  <si>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</si>
  <si>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</si>
  <si>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</si>
  <si>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</si>
  <si>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</si>
  <si>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</si>
  <si>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</si>
  <si>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</si>
  <si>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</si>
  <si>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</si>
  <si>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</si>
  <si>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</si>
  <si>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</si>
  <si>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</si>
  <si>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</si>
  <si>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</si>
  <si>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</si>
  <si>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</si>
  <si>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</si>
  <si>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</si>
  <si>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</si>
  <si>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</si>
  <si>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</si>
  <si>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</si>
  <si>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</si>
  <si>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</si>
  <si>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</si>
  <si>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</si>
  <si>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</si>
  <si>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</si>
  <si>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</si>
  <si>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</si>
  <si>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</si>
  <si>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</si>
  <si>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</si>
  <si>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</si>
  <si>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</si>
  <si>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</si>
  <si>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</si>
  <si>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</si>
  <si>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</si>
  <si>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</si>
  <si>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</si>
  <si>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</si>
  <si>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</si>
  <si>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</si>
  <si>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</si>
  <si>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</si>
  <si>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</si>
  <si>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</si>
  <si>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</si>
  <si>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</si>
  <si>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</si>
  <si>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</si>
  <si>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</si>
  <si>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</si>
  <si>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</si>
  <si>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</si>
  <si>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</si>
  <si>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</si>
  <si>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</si>
  <si>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</si>
  <si>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</si>
  <si>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</si>
  <si>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</si>
  <si>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</si>
  <si>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</si>
  <si>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</si>
  <si>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</si>
  <si>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</si>
  <si>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</si>
  <si>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</si>
  <si>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</si>
  <si>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</si>
  <si>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</si>
  <si>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</si>
  <si>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</si>
  <si>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</si>
  <si>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</si>
  <si>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</si>
  <si>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</si>
  <si>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</si>
  <si>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</si>
  <si>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</si>
  <si>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</si>
  <si>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</si>
  <si>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</si>
  <si>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</si>
  <si>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</si>
  <si>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</si>
  <si>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</si>
  <si>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</si>
  <si>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</si>
  <si>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</si>
  <si>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</si>
  <si>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</si>
  <si>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</si>
  <si>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</si>
  <si>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</si>
  <si>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</si>
  <si>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</si>
  <si>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</si>
  <si>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</si>
  <si>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</si>
  <si>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</si>
  <si>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</si>
  <si>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</si>
  <si>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</si>
  <si>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</si>
  <si>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</si>
  <si>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</si>
  <si>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</si>
  <si>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</si>
  <si>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</si>
  <si>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</si>
  <si>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</si>
  <si>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</si>
  <si>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</si>
  <si>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</si>
  <si>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</si>
  <si>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</si>
  <si>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</si>
  <si>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</si>
  <si>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</si>
  <si>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</si>
  <si>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</si>
  <si>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</si>
  <si>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</si>
  <si>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</si>
  <si>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</si>
  <si>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</si>
  <si>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</si>
  <si>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</si>
  <si>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</si>
  <si>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</si>
  <si>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</si>
  <si>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</si>
  <si>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</si>
  <si>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</si>
  <si>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</si>
  <si>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</si>
  <si>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</si>
  <si>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</si>
  <si>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</si>
  <si>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</si>
  <si>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</si>
  <si>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</si>
  <si>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</si>
  <si>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</si>
  <si>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</si>
  <si>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</si>
  <si>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</si>
  <si>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</si>
  <si>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</si>
  <si>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</si>
  <si>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</si>
  <si>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</si>
  <si>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</si>
  <si>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</si>
  <si>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</si>
  <si>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</si>
  <si>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</si>
  <si>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</si>
  <si>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</si>
  <si>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</si>
  <si>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</si>
  <si>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</si>
  <si>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</si>
  <si>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</si>
  <si>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</si>
  <si>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</si>
  <si>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</si>
  <si>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</si>
  <si>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</si>
  <si>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</si>
  <si>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</si>
  <si>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</si>
  <si>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</si>
  <si>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</si>
  <si>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</si>
  <si>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</si>
  <si>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</si>
  <si>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</si>
  <si>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</si>
  <si>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</si>
  <si>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</si>
  <si>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</si>
  <si>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</si>
  <si>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</si>
  <si>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</si>
  <si>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</si>
  <si>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</si>
  <si>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</si>
  <si>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</si>
  <si>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</si>
  <si>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</si>
  <si>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</si>
  <si>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</si>
  <si>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</si>
  <si>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</si>
  <si>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</si>
  <si>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</si>
  <si>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</si>
  <si>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</si>
  <si>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</si>
  <si>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</si>
  <si>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</si>
  <si>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</si>
  <si>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</si>
  <si>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</si>
  <si>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</si>
  <si>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</si>
  <si>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</si>
  <si>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</si>
  <si>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</si>
  <si>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</si>
  <si>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</si>
  <si>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</si>
  <si>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</si>
  <si>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</si>
  <si>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</si>
  <si>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</si>
  <si>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</si>
  <si>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</si>
  <si>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</si>
  <si>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</si>
  <si>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</si>
  <si>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</si>
  <si>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</si>
  <si>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</si>
  <si>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</si>
  <si>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</si>
  <si>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</si>
  <si>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</si>
  <si>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</si>
  <si>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</si>
  <si>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</si>
  <si>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</si>
  <si>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</si>
  <si>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</si>
  <si>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</si>
  <si>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</si>
  <si>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</si>
  <si>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</si>
  <si>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</si>
  <si>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</si>
  <si>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</si>
  <si>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</si>
  <si>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</si>
  <si>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</si>
  <si>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</si>
  <si>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</si>
  <si>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</si>
  <si>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</si>
  <si>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</si>
  <si>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</si>
  <si>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</si>
  <si>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</si>
  <si>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</si>
  <si>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</si>
  <si>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</si>
  <si>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</si>
  <si>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</si>
  <si>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</si>
  <si>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</si>
  <si>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</si>
  <si>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</si>
  <si>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</si>
  <si>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</si>
  <si>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</si>
  <si>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</si>
  <si>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</si>
  <si>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</si>
  <si>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</si>
  <si>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</si>
  <si>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</si>
  <si>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</si>
  <si>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</si>
  <si>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</si>
  <si>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</si>
  <si>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</si>
  <si>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</si>
  <si>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</si>
  <si>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</si>
  <si>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</si>
  <si>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</si>
  <si>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</si>
  <si>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</si>
  <si>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</si>
  <si>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</si>
  <si>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</si>
  <si>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</si>
  <si>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</si>
  <si>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</si>
  <si>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</si>
  <si>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</si>
  <si>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</si>
  <si>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</si>
  <si>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</si>
  <si>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</si>
  <si>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</si>
  <si>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</si>
  <si>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</si>
  <si>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</si>
  <si>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</si>
  <si>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</si>
  <si>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</si>
  <si>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</si>
  <si>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</si>
  <si>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</si>
  <si>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</si>
  <si>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</si>
  <si>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</si>
  <si>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</si>
  <si>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</si>
  <si>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</si>
  <si>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</si>
  <si>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</si>
  <si>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</si>
  <si>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</si>
  <si>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</si>
  <si>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</si>
  <si>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</si>
  <si>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</si>
  <si>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</si>
  <si>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</si>
  <si>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</si>
  <si>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</si>
  <si>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</si>
  <si>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</si>
  <si>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</si>
  <si>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</si>
  <si>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</si>
  <si>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</si>
  <si>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</si>
  <si>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</si>
  <si>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</si>
  <si>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</si>
  <si>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</si>
  <si>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</si>
  <si>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</si>
  <si>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</si>
  <si>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</si>
  <si>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</si>
  <si>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</si>
  <si>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</si>
  <si>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</si>
  <si>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</si>
  <si>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</si>
  <si>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</si>
  <si>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</si>
  <si>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</si>
  <si>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</si>
  <si>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</si>
  <si>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</si>
  <si>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</si>
  <si>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</si>
  <si>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</si>
  <si>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</si>
  <si>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</si>
  <si>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</si>
  <si>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</si>
  <si>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</si>
  <si>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</si>
  <si>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</si>
  <si>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</si>
  <si>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</si>
  <si>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</si>
  <si>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</si>
  <si>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</si>
  <si>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</si>
  <si>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</si>
  <si>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</si>
  <si>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</si>
  <si>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</si>
  <si>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</si>
  <si>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</si>
  <si>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</si>
  <si>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</si>
  <si>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</si>
  <si>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</si>
  <si>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</si>
  <si>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</si>
  <si>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</si>
  <si>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</si>
  <si>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</si>
  <si>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</si>
  <si>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</si>
  <si>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</si>
  <si>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</si>
  <si>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</si>
  <si>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</si>
  <si>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</si>
  <si>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</si>
  <si>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</si>
  <si>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</si>
  <si>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</si>
  <si>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</si>
  <si>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</si>
  <si>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</si>
  <si>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</si>
  <si>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</si>
  <si>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</si>
  <si>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</si>
  <si>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</si>
  <si>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</si>
  <si>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</si>
  <si>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</si>
  <si>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</si>
  <si>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</si>
  <si>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</si>
  <si>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</si>
  <si>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</si>
  <si>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</si>
  <si>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</si>
  <si>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</si>
  <si>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</si>
  <si>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</si>
  <si>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</si>
  <si>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</si>
  <si>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</si>
  <si>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</si>
  <si>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</si>
  <si>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</si>
  <si>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</si>
  <si>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</si>
  <si>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</si>
  <si>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</si>
  <si>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</si>
  <si>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</si>
  <si>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</si>
  <si>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</si>
  <si>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</si>
  <si>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</si>
  <si>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</si>
  <si>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</si>
  <si>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</si>
  <si>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</si>
  <si>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</si>
  <si>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</si>
  <si>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</si>
  <si>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</si>
  <si>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</si>
  <si>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</si>
  <si>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</si>
  <si>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</si>
  <si>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</si>
  <si>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</si>
  <si>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</si>
  <si>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</si>
  <si>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</si>
  <si>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</si>
  <si>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</si>
  <si>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</si>
  <si>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</si>
  <si>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</si>
  <si>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</si>
  <si>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</si>
  <si>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</si>
  <si>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</si>
  <si>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</si>
  <si>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</si>
  <si>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</si>
  <si>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</si>
  <si>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</si>
  <si>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</si>
  <si>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</si>
  <si>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</si>
  <si>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</si>
  <si>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</si>
  <si>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</si>
  <si>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</si>
  <si>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</si>
  <si>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</si>
  <si>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</si>
  <si>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</si>
  <si>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</si>
  <si>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</si>
  <si>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</si>
  <si>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</si>
  <si>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</si>
  <si>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</si>
  <si>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</si>
  <si>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</si>
  <si>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</si>
  <si>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</si>
  <si>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</si>
  <si>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</si>
  <si>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</si>
  <si>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</si>
  <si>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</si>
  <si>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</si>
  <si>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</si>
  <si>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</si>
  <si>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</si>
  <si>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</si>
  <si>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</si>
  <si>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</si>
  <si>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</si>
  <si>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</si>
  <si>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</si>
  <si>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</si>
  <si>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</si>
  <si>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</si>
  <si>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</si>
  <si>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</si>
  <si>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</si>
  <si>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</si>
  <si>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</si>
  <si>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</si>
  <si>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</si>
  <si>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</si>
  <si>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</si>
  <si>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</si>
  <si>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</si>
  <si>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</si>
  <si>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</si>
  <si>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</si>
  <si>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</si>
  <si>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</si>
  <si>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</si>
  <si>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</si>
  <si>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</si>
  <si>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</si>
  <si>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</si>
  <si>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</si>
  <si>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</si>
  <si>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</si>
  <si>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</si>
  <si>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</si>
  <si>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</si>
  <si>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</si>
  <si>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</si>
  <si>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</si>
  <si>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</si>
  <si>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</si>
  <si>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</si>
  <si>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</si>
  <si>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</si>
  <si>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</si>
  <si>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</si>
  <si>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</si>
  <si>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</si>
  <si>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</si>
  <si>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</si>
  <si>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</si>
  <si>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</si>
  <si>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</si>
  <si>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</si>
  <si>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</si>
  <si>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</si>
  <si>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</si>
  <si>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</si>
  <si>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</si>
  <si>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</si>
  <si>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</si>
  <si>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</si>
  <si>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</si>
  <si>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</si>
  <si>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</si>
  <si>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</si>
  <si>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</si>
  <si>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</si>
  <si>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</si>
  <si>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</si>
  <si>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</si>
  <si>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</si>
  <si>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</si>
  <si>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</si>
  <si>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</si>
  <si>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</si>
  <si>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</si>
  <si>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</si>
  <si>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</si>
  <si>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</si>
  <si>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</si>
  <si>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</si>
  <si>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</si>
  <si>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</si>
  <si>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</si>
  <si>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</si>
  <si>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</si>
  <si>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</si>
  <si>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</si>
  <si>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</si>
  <si>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</si>
  <si>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</si>
  <si>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</si>
  <si>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</si>
  <si>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</si>
  <si>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</si>
  <si>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</si>
  <si>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</si>
  <si>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</si>
  <si>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</si>
  <si>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</si>
  <si>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</si>
  <si>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</si>
  <si>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</si>
  <si>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</si>
  <si>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</si>
  <si>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</si>
  <si>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</si>
  <si>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</si>
  <si>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</si>
  <si>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</si>
  <si>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</si>
  <si>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</si>
  <si>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</si>
  <si>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</si>
  <si>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</si>
  <si>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</si>
  <si>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</si>
  <si>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</si>
  <si>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</si>
  <si>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</si>
  <si>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</si>
  <si>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</si>
  <si>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</si>
  <si>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</si>
  <si>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</si>
  <si>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</si>
  <si>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</si>
  <si>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</si>
  <si>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</si>
  <si>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</si>
  <si>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</si>
  <si>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</si>
  <si>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</si>
  <si>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</si>
  <si>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</si>
  <si>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</si>
  <si>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</si>
  <si>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</si>
  <si>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</si>
  <si>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</si>
  <si>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</si>
  <si>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</si>
  <si>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</si>
  <si>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</si>
  <si>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</si>
  <si>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</si>
  <si>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</si>
  <si>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</si>
  <si>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</si>
  <si>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</si>
  <si>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</si>
  <si>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</si>
  <si>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</si>
  <si>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</si>
  <si>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</si>
  <si>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</si>
  <si>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</si>
  <si>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</si>
  <si>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</si>
  <si>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</si>
  <si>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</si>
  <si>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</si>
  <si>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</si>
  <si>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</si>
  <si>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</si>
  <si>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</si>
  <si>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</si>
  <si>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</si>
  <si>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</si>
  <si>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</si>
  <si>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</si>
  <si>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</si>
  <si>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</si>
  <si>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</si>
  <si>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</si>
  <si>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</si>
  <si>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</si>
  <si>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</si>
  <si>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</si>
  <si>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</si>
  <si>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</si>
  <si>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</si>
  <si>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</si>
  <si>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</si>
  <si>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</si>
  <si>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</si>
  <si>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</si>
  <si>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</si>
  <si>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</si>
  <si>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</si>
  <si>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</si>
  <si>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</si>
  <si>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</si>
  <si>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</si>
  <si>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</si>
  <si>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</si>
  <si>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</si>
  <si>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</si>
  <si>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</si>
  <si>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</si>
  <si>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</si>
  <si>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</si>
  <si>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</si>
  <si>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</si>
  <si>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</si>
  <si>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</si>
  <si>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</si>
  <si>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</si>
  <si>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</si>
  <si>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</si>
  <si>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</si>
  <si>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</si>
  <si>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</si>
  <si>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</si>
  <si>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</si>
  <si>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</si>
  <si>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</si>
  <si>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</si>
  <si>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</si>
  <si>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</si>
  <si>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</si>
  <si>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</si>
  <si>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</si>
  <si>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</si>
  <si>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</si>
  <si>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</si>
  <si>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</si>
  <si>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</si>
  <si>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</si>
  <si>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</si>
  <si>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</si>
  <si>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</si>
  <si>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</si>
  <si>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</si>
  <si>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</si>
  <si>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</si>
  <si>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</si>
  <si>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</si>
  <si>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</si>
  <si>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</si>
  <si>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</si>
  <si>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</si>
  <si>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</si>
  <si>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</si>
  <si>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</si>
  <si>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</si>
  <si>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</si>
  <si>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</si>
  <si>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</si>
  <si>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</si>
  <si>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</si>
  <si>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</si>
  <si>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</si>
  <si>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</si>
  <si>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</si>
  <si>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</si>
  <si>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</si>
  <si>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</si>
  <si>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</si>
  <si>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</si>
  <si>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</si>
  <si>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</si>
  <si>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</si>
  <si>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</si>
  <si>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</si>
  <si>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</si>
  <si>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</si>
  <si>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</si>
  <si>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</si>
  <si>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</si>
  <si>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</si>
  <si>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</si>
  <si>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</si>
  <si>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</si>
  <si>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</si>
  <si>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</si>
  <si>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</si>
  <si>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</si>
  <si>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</si>
  <si>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</si>
  <si>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</si>
  <si>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</si>
  <si>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</si>
  <si>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</si>
  <si>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</si>
  <si>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</si>
  <si>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</si>
  <si>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</si>
  <si>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</si>
  <si>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</si>
  <si>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</si>
  <si>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</si>
  <si>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</si>
  <si>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</si>
  <si>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</si>
  <si>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</si>
  <si>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</si>
  <si>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</si>
  <si>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</si>
  <si>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</si>
  <si>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</si>
  <si>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</si>
  <si>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</si>
  <si>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</si>
  <si>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</si>
  <si>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</si>
  <si>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</si>
  <si>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</si>
  <si>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</si>
  <si>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</si>
  <si>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</si>
  <si>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</si>
  <si>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</si>
  <si>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</si>
  <si>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</si>
  <si>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</si>
  <si>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</si>
  <si>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</si>
  <si>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</si>
  <si>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</si>
  <si>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</si>
  <si>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</si>
  <si>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</si>
  <si>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</si>
  <si>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</si>
  <si>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</si>
  <si>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</si>
  <si>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</si>
  <si>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</si>
  <si>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</si>
  <si>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</si>
  <si>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</si>
  <si>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</si>
  <si>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</si>
  <si>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</si>
  <si>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</si>
  <si>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</si>
  <si>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</si>
  <si>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</si>
  <si>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</si>
  <si>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</si>
  <si>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</si>
  <si>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</si>
  <si>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</si>
  <si>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</si>
  <si>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</si>
  <si>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</si>
  <si>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</si>
  <si>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</si>
  <si>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</si>
  <si>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</si>
  <si>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</si>
  <si>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</si>
  <si>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</si>
  <si>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</si>
  <si>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</si>
  <si>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</si>
  <si>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</si>
  <si>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</si>
  <si>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</si>
  <si>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</si>
  <si>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</si>
  <si>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</si>
  <si>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</si>
  <si>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</si>
  <si>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</si>
  <si>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</si>
  <si>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</si>
  <si>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</si>
  <si>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</si>
  <si>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</si>
  <si>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</si>
  <si>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</si>
  <si>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</si>
  <si>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</si>
  <si>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</si>
  <si>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</si>
  <si>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</si>
  <si>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</si>
  <si>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</si>
  <si>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</si>
  <si>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</si>
  <si>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</si>
  <si>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</si>
  <si>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</si>
  <si>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</si>
  <si>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</si>
  <si>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</si>
  <si>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</si>
  <si>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</si>
  <si>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</si>
  <si>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</si>
  <si>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</si>
  <si>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</si>
  <si>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</si>
  <si>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</si>
  <si>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</si>
  <si>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</si>
  <si>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</si>
  <si>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</si>
  <si>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</si>
  <si>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</si>
  <si>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</si>
  <si>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</si>
  <si>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</si>
  <si>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</si>
  <si>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</si>
  <si>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</si>
  <si>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</si>
  <si>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</si>
  <si>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</si>
  <si>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</si>
  <si>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</si>
  <si>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</si>
  <si>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</si>
  <si>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</si>
  <si>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</si>
  <si>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</si>
  <si>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</si>
  <si>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</si>
  <si>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</si>
  <si>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</si>
  <si>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</si>
  <si>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</si>
  <si>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</si>
  <si>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</si>
  <si>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</si>
  <si>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</si>
  <si>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</si>
  <si>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</si>
  <si>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</si>
  <si>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</si>
  <si>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</si>
  <si>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</si>
  <si>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</si>
  <si>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</si>
  <si>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</si>
  <si>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</si>
  <si>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</si>
  <si>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</si>
  <si>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</si>
  <si>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</si>
  <si>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</si>
  <si>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</si>
  <si>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</si>
  <si>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</si>
  <si>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</si>
  <si>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</si>
  <si>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</si>
  <si>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</si>
  <si>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</si>
  <si>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</si>
  <si>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</si>
  <si>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</si>
  <si>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</si>
  <si>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</si>
  <si>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</si>
  <si>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</si>
  <si>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</si>
  <si>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</si>
  <si>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</si>
  <si>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</si>
  <si>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</si>
  <si>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</si>
  <si>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</si>
  <si>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</si>
  <si>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</si>
  <si>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</si>
  <si>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</si>
  <si>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</si>
  <si>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</si>
  <si>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</si>
  <si>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</si>
  <si>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</si>
  <si>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</si>
  <si>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</si>
  <si>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</si>
  <si>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</si>
  <si>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</si>
  <si>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</si>
  <si>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</si>
  <si>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</si>
  <si>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</si>
  <si>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</si>
  <si>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</si>
  <si>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</si>
  <si>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</si>
  <si>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</si>
  <si>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</si>
  <si>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</si>
  <si>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</si>
  <si>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</si>
  <si>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</si>
  <si>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</si>
  <si>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</si>
  <si>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</si>
  <si>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</si>
  <si>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</si>
  <si>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</si>
  <si>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</si>
  <si>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</si>
  <si>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</si>
  <si>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</si>
  <si>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</si>
  <si>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</si>
  <si>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</si>
  <si>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</si>
  <si>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</si>
  <si>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</si>
  <si>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</si>
  <si>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</si>
  <si>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</si>
  <si>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</si>
  <si>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</si>
  <si>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</si>
  <si>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</si>
  <si>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</si>
  <si>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</si>
  <si>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</si>
  <si>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</si>
  <si>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</si>
  <si>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</si>
  <si>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</si>
  <si>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</si>
  <si>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</si>
  <si>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</si>
  <si>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</si>
  <si>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</si>
  <si>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</si>
  <si>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</si>
  <si>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</si>
  <si>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</si>
  <si>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</si>
  <si>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</si>
  <si>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</si>
  <si>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</si>
  <si>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</si>
  <si>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</si>
  <si>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</si>
  <si>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</si>
  <si>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</si>
  <si>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</si>
  <si>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</si>
  <si>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</si>
  <si>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</si>
  <si>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</si>
  <si>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</si>
  <si>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</si>
  <si>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</si>
  <si>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</si>
  <si>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</si>
  <si>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</si>
  <si>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</si>
  <si>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</si>
  <si>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</si>
  <si>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</si>
  <si>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</si>
  <si>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</si>
  <si>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</si>
  <si>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</si>
  <si>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</si>
  <si>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</si>
  <si>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</si>
  <si>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</si>
  <si>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</si>
  <si>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</si>
  <si>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</si>
  <si>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</si>
  <si>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</si>
  <si>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</si>
  <si>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</si>
  <si>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</si>
  <si>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</si>
  <si>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</si>
  <si>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</si>
  <si>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</si>
  <si>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</si>
  <si>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</si>
  <si>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</si>
  <si>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</si>
  <si>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</si>
  <si>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</si>
  <si>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</si>
  <si>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</si>
  <si>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</si>
  <si>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</si>
  <si>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</si>
  <si>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</si>
  <si>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</si>
  <si>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</si>
  <si>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</si>
  <si>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</si>
  <si>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</si>
  <si>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</si>
  <si>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</si>
  <si>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</si>
  <si>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</si>
  <si>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</si>
  <si>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</si>
  <si>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</si>
  <si>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</si>
  <si>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</si>
  <si>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</si>
  <si>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</si>
  <si>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</si>
  <si>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</si>
  <si>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</si>
  <si>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</si>
  <si>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</si>
  <si>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</si>
  <si>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</si>
  <si>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</si>
  <si>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</si>
  <si>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</si>
  <si>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</si>
  <si>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</si>
  <si>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</si>
  <si>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</si>
  <si>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</si>
  <si>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</si>
  <si>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</si>
  <si>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</si>
  <si>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</si>
  <si>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</si>
  <si>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</si>
  <si>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</si>
  <si>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</si>
  <si>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</si>
  <si>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</si>
  <si>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</si>
  <si>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</si>
  <si>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</si>
  <si>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</si>
  <si>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</si>
  <si>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</si>
  <si>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</si>
  <si>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</si>
  <si>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</si>
  <si>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</si>
  <si>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</si>
  <si>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</si>
  <si>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</si>
  <si>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</si>
  <si>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</si>
  <si>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</si>
  <si>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</si>
  <si>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</si>
  <si>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</si>
  <si>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</si>
  <si>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</si>
  <si>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</si>
  <si>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</si>
  <si>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</si>
  <si>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</si>
  <si>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</si>
  <si>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</si>
  <si>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</si>
  <si>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</si>
  <si>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</si>
  <si>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</si>
  <si>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</si>
  <si>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</si>
  <si>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</si>
  <si>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</si>
  <si>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</si>
  <si>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</si>
  <si>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</si>
  <si>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</si>
  <si>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</si>
  <si>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</si>
  <si>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</si>
  <si>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</si>
  <si>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</si>
  <si>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</si>
  <si>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</si>
  <si>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</si>
  <si>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</si>
  <si>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</si>
  <si>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</si>
  <si>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</si>
  <si>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</si>
  <si>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</si>
  <si>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</si>
  <si>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</si>
  <si>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</si>
  <si>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</si>
  <si>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</si>
  <si>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</si>
  <si>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</si>
  <si>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</si>
  <si>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</si>
  <si>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</si>
  <si>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</si>
  <si>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</si>
  <si>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</si>
  <si>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</si>
  <si>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</si>
  <si>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</si>
  <si>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</si>
  <si>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</si>
  <si>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</si>
  <si>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</si>
  <si>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</si>
  <si>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</si>
  <si>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</si>
  <si>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</si>
  <si>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</si>
  <si>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</si>
  <si>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</si>
  <si>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</si>
  <si>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</si>
  <si>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</si>
  <si>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</si>
  <si>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</si>
  <si>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</si>
  <si>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</si>
  <si>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</si>
  <si>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</si>
  <si>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</si>
  <si>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</si>
  <si>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</si>
  <si>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</si>
  <si>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</si>
  <si>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</si>
  <si>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</si>
  <si>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</si>
  <si>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</si>
  <si>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</si>
  <si>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</si>
  <si>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</si>
  <si>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</si>
  <si>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</si>
  <si>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</si>
  <si>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</si>
  <si>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</si>
  <si>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</si>
  <si>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</si>
  <si>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</si>
  <si>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</si>
  <si>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</si>
  <si>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</si>
  <si>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</si>
  <si>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</si>
  <si>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</si>
  <si>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</si>
  <si>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</si>
  <si>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</si>
  <si>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</si>
  <si>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</si>
  <si>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</si>
  <si>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</si>
  <si>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</si>
  <si>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</si>
  <si>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</si>
  <si>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</si>
  <si>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</si>
  <si>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</si>
  <si>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</si>
  <si>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</si>
  <si>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</si>
  <si>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</si>
  <si>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</si>
  <si>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</si>
  <si>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</si>
  <si>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</si>
  <si>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</si>
  <si>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</si>
  <si>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</si>
  <si>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</si>
  <si>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</si>
  <si>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</si>
  <si>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</si>
  <si>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</si>
  <si>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</si>
  <si>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</si>
  <si>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</si>
  <si>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</si>
  <si>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</si>
  <si>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</si>
  <si>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</si>
  <si>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</si>
  <si>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</si>
  <si>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</si>
  <si>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</si>
  <si>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</si>
  <si>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</si>
  <si>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</si>
  <si>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</si>
  <si>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</si>
  <si>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</si>
  <si>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</si>
  <si>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</si>
  <si>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</si>
  <si>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</si>
  <si>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</si>
  <si>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</si>
  <si>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</si>
  <si>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</si>
  <si>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</si>
  <si>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</si>
  <si>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</si>
  <si>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</si>
  <si>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</si>
  <si>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</si>
  <si>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</si>
  <si>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</si>
  <si>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</si>
  <si>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</si>
  <si>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</si>
  <si>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</si>
  <si>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</si>
  <si>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</si>
  <si>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</si>
  <si>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</si>
  <si>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</si>
  <si>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</si>
  <si>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</si>
  <si>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</si>
  <si>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</si>
  <si>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</si>
  <si>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</si>
  <si>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</si>
  <si>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</si>
  <si>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</si>
  <si>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</si>
  <si>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</si>
  <si>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</si>
  <si>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</si>
  <si>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</si>
  <si>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</si>
  <si>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</si>
  <si>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</si>
  <si>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</si>
  <si>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</si>
  <si>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</si>
  <si>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</si>
  <si>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</si>
  <si>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</si>
  <si>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</si>
  <si>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</si>
  <si>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</si>
  <si>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</si>
  <si>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</si>
  <si>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</si>
  <si>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</si>
  <si>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</si>
  <si>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</si>
  <si>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</si>
  <si>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</si>
  <si>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</si>
  <si>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</si>
  <si>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</si>
  <si>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</si>
  <si>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</si>
  <si>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</si>
  <si>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</si>
  <si>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</si>
  <si>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</si>
  <si>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</si>
  <si>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</si>
  <si>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</si>
  <si>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</si>
  <si>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</si>
  <si>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</si>
  <si>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</si>
  <si>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</si>
  <si>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</si>
  <si>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</si>
  <si>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</si>
  <si>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</si>
  <si>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</si>
  <si>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</si>
  <si>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</si>
  <si>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</si>
  <si>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</si>
  <si>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</si>
  <si>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</si>
  <si>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</si>
  <si>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</si>
  <si>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</si>
  <si>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</si>
  <si>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</si>
  <si>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</si>
  <si>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</si>
  <si>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</si>
  <si>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</si>
  <si>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</si>
  <si>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</si>
  <si>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</si>
  <si>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</si>
  <si>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</si>
  <si>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</si>
  <si>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</si>
  <si>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</si>
  <si>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</si>
  <si>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</si>
  <si>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</si>
  <si>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</si>
  <si>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</si>
  <si>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</si>
  <si>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</si>
  <si>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</si>
  <si>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</si>
  <si>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</si>
  <si>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</si>
  <si>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</si>
  <si>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</si>
  <si>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</si>
  <si>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</si>
  <si>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</si>
  <si>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</si>
  <si>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</si>
  <si>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</si>
  <si>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</si>
  <si>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</si>
  <si>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</si>
  <si>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</si>
  <si>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</si>
  <si>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</si>
  <si>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</si>
  <si>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</si>
  <si>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</si>
  <si>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</si>
  <si>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</si>
  <si>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</si>
  <si>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</si>
  <si>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</si>
  <si>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</si>
  <si>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</si>
  <si>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</si>
  <si>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</si>
  <si>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</si>
  <si>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</si>
  <si>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</si>
  <si>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</si>
  <si>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</si>
  <si>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</si>
  <si>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</si>
  <si>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</si>
  <si>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</si>
  <si>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</si>
  <si>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</si>
  <si>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</si>
  <si>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</si>
  <si>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</si>
  <si>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</si>
  <si>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</si>
  <si>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</si>
  <si>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</si>
  <si>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</si>
  <si>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</si>
  <si>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</si>
  <si>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</si>
  <si>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</si>
  <si>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</si>
  <si>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</si>
  <si>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</si>
  <si>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</si>
  <si>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</si>
  <si>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</si>
  <si>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</si>
  <si>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</si>
  <si>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</si>
  <si>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</si>
  <si>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</si>
  <si>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</si>
  <si>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</si>
  <si>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</si>
  <si>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</si>
  <si>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</si>
  <si>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</si>
  <si>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</si>
  <si>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</si>
  <si>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</si>
  <si>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</si>
  <si>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</si>
  <si>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</si>
  <si>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</si>
  <si>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</si>
  <si>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</si>
  <si>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</si>
  <si>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</si>
  <si>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</si>
  <si>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</si>
  <si>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</si>
  <si>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</si>
  <si>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</si>
  <si>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</si>
  <si>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</si>
  <si>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</si>
  <si>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</si>
  <si>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</si>
  <si>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</si>
  <si>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</si>
  <si>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</si>
  <si>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</si>
  <si>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</si>
  <si>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</si>
  <si>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</si>
  <si>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</si>
  <si>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</si>
  <si>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</si>
  <si>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</si>
  <si>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</si>
  <si>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</si>
  <si>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</si>
  <si>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</si>
  <si>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</si>
  <si>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</si>
  <si>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</si>
  <si>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</si>
  <si>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</si>
  <si>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</si>
  <si>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</si>
  <si>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</si>
  <si>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</si>
  <si>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</si>
  <si>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</si>
  <si>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</si>
  <si>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</si>
  <si>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</si>
  <si>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</si>
  <si>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</si>
  <si>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</si>
  <si>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</si>
  <si>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</si>
  <si>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</si>
  <si>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</si>
  <si>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</si>
  <si>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</si>
  <si>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</si>
  <si>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</si>
  <si>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</si>
  <si>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</si>
  <si>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</si>
  <si>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</si>
  <si>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</si>
  <si>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</si>
  <si>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</si>
  <si>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</si>
  <si>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</si>
  <si>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</si>
  <si>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</si>
  <si>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</si>
  <si>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</si>
  <si>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</si>
  <si>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</si>
  <si>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</si>
  <si>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</si>
  <si>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</si>
  <si>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</si>
  <si>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</si>
  <si>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</si>
  <si>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</si>
  <si>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</si>
  <si>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</si>
  <si>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</si>
  <si>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</si>
  <si>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</si>
  <si>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</si>
  <si>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</si>
  <si>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</si>
  <si>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</si>
  <si>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</si>
  <si>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</si>
  <si>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</si>
  <si>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</si>
  <si>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</si>
  <si>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</si>
  <si>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</si>
  <si>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</si>
  <si>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</si>
  <si>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</si>
  <si>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</si>
  <si>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</si>
  <si>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</si>
  <si>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</si>
  <si>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</si>
  <si>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</si>
  <si>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</si>
  <si>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</si>
  <si>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</si>
  <si>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</si>
  <si>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</si>
  <si>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</si>
  <si>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</si>
  <si>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</si>
  <si>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</si>
  <si>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</si>
  <si>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</si>
  <si>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</si>
  <si>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</si>
  <si>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</si>
  <si>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</si>
  <si>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</si>
  <si>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</si>
  <si>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</si>
  <si>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</si>
  <si>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</si>
  <si>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</si>
  <si>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</si>
  <si>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</si>
  <si>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</si>
  <si>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</si>
  <si>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</si>
  <si>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</si>
  <si>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</si>
  <si>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</si>
  <si>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</si>
  <si>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</si>
  <si>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</si>
  <si>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</si>
  <si>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</si>
  <si>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</si>
  <si>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</si>
  <si>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</si>
  <si>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</si>
  <si>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</si>
  <si>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</si>
  <si>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</si>
  <si>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</si>
  <si>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</si>
  <si>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</si>
  <si>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</si>
  <si>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</si>
  <si>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</si>
  <si>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</si>
  <si>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</si>
  <si>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</si>
  <si>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</si>
  <si>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</si>
  <si>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</si>
  <si>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</si>
  <si>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</si>
  <si>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</si>
  <si>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</si>
  <si>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</si>
  <si>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</si>
  <si>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</si>
  <si>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</si>
  <si>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</si>
  <si>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</si>
  <si>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</si>
  <si>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</si>
  <si>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</si>
  <si>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</si>
  <si>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</si>
  <si>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</si>
  <si>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</si>
  <si>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</si>
  <si>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</si>
  <si>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</si>
  <si>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</si>
  <si>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</si>
  <si>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</si>
  <si>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</si>
  <si>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</si>
  <si>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</si>
  <si>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</si>
  <si>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</si>
  <si>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</si>
  <si>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</si>
  <si>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</si>
  <si>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</si>
  <si>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</si>
  <si>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</si>
  <si>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</si>
  <si>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</si>
  <si>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</si>
  <si>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</si>
  <si>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</si>
  <si>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</si>
  <si>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</si>
  <si>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</si>
  <si>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</si>
  <si>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</si>
  <si>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</si>
  <si>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</si>
  <si>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</si>
  <si>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</si>
  <si>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</si>
  <si>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</si>
  <si>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</si>
  <si>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</si>
  <si>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</si>
  <si>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</si>
  <si>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</si>
  <si>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</si>
  <si>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</si>
  <si>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</si>
  <si>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</si>
  <si>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</si>
  <si>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</si>
  <si>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</si>
  <si>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</si>
  <si>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</si>
  <si>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</si>
  <si>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</si>
  <si>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</si>
  <si>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</si>
  <si>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</si>
  <si>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</si>
  <si>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</si>
  <si>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</si>
  <si>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</si>
  <si>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</si>
  <si>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</si>
  <si>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</si>
  <si>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</si>
  <si>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</si>
  <si>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</si>
  <si>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</si>
  <si>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</si>
  <si>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</si>
  <si>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</si>
  <si>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</si>
  <si>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</si>
  <si>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</si>
  <si>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</si>
  <si>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</si>
  <si>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</si>
  <si>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</si>
  <si>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</si>
  <si>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</si>
  <si>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</si>
  <si>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</si>
  <si>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</si>
  <si>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</si>
  <si>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</si>
  <si>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</si>
  <si>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</si>
  <si>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</si>
  <si>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</si>
  <si>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</si>
  <si>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</si>
  <si>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</si>
  <si>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</si>
  <si>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</si>
  <si>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</si>
  <si>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</si>
  <si>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</si>
  <si>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</si>
  <si>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</si>
  <si>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</si>
  <si>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</si>
  <si>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</si>
  <si>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</si>
  <si>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</si>
  <si>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</si>
  <si>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</si>
  <si>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</si>
  <si>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</si>
  <si>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</si>
  <si>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</si>
  <si>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</si>
  <si>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</si>
  <si>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</si>
  <si>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</si>
  <si>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</si>
  <si>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</si>
  <si>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</si>
  <si>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</si>
  <si>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</si>
  <si>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</si>
  <si>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</si>
  <si>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</si>
  <si>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</si>
  <si>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</si>
  <si>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</si>
  <si>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</si>
  <si>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</si>
  <si>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</si>
  <si>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</si>
  <si>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</si>
  <si>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</si>
  <si>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</si>
  <si>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</si>
  <si>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</si>
  <si>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</si>
  <si>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</si>
  <si>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</si>
  <si>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</si>
  <si>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</si>
  <si>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</si>
  <si>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</si>
  <si>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</si>
  <si>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</si>
  <si>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</si>
  <si>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</si>
  <si>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</si>
  <si>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</si>
  <si>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</si>
  <si>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</si>
  <si>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</si>
  <si>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</si>
  <si>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</si>
  <si>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</si>
  <si>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</si>
  <si>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</si>
  <si>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</si>
  <si>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</si>
  <si>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</si>
  <si>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</si>
  <si>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</si>
  <si>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</si>
  <si>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</si>
  <si>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</si>
  <si>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</si>
  <si>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</si>
  <si>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</si>
  <si>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</si>
  <si>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</si>
  <si>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</si>
  <si>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</si>
  <si>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</si>
  <si>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</si>
  <si>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</si>
  <si>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</si>
  <si>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</si>
  <si>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</si>
  <si>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</si>
  <si>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</si>
  <si>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</si>
  <si>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</si>
  <si>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</si>
  <si>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</si>
  <si>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</si>
  <si>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</si>
  <si>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</si>
  <si>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</si>
  <si>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</si>
  <si>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</si>
  <si>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</si>
  <si>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</si>
  <si>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</si>
  <si>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</si>
  <si>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</si>
  <si>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</si>
  <si>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</si>
  <si>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</si>
  <si>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</si>
  <si>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</si>
  <si>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</si>
  <si>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</si>
  <si>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</si>
  <si>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</si>
  <si>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</si>
  <si>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</si>
  <si>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</si>
  <si>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</si>
  <si>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</si>
  <si>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</si>
  <si>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</si>
  <si>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</si>
  <si>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</si>
  <si>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</si>
  <si>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</si>
  <si>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</si>
  <si>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</si>
  <si>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</si>
  <si>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</si>
  <si>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</si>
  <si>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</si>
  <si>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</si>
  <si>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</si>
  <si>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</si>
  <si>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</si>
  <si>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</si>
  <si>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</si>
  <si>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</si>
  <si>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</si>
  <si>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</si>
  <si>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</si>
  <si>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</si>
  <si>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</si>
  <si>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</si>
  <si>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</si>
  <si>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</si>
  <si>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</si>
  <si>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</si>
  <si>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</si>
  <si>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</si>
  <si>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</si>
  <si>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</si>
  <si>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</si>
  <si>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</si>
  <si>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</si>
  <si>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</si>
  <si>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</si>
  <si>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</si>
  <si>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</si>
  <si>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</si>
  <si>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</si>
  <si>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</si>
  <si>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</si>
  <si>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</si>
  <si>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</si>
  <si>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</si>
  <si>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</si>
  <si>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</si>
  <si>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</si>
  <si>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</si>
  <si>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</si>
  <si>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</si>
  <si>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</si>
  <si>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</si>
  <si>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</si>
  <si>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</si>
  <si>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</si>
  <si>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</si>
  <si>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</si>
  <si>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</si>
  <si>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</si>
  <si>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</si>
  <si>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</si>
  <si>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</si>
  <si>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</si>
  <si>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</si>
  <si>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</si>
  <si>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</si>
  <si>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</si>
  <si>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</si>
  <si>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</si>
  <si>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</si>
  <si>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</si>
  <si>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</si>
  <si>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</si>
  <si>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</si>
  <si>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</si>
  <si>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</si>
  <si>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</si>
  <si>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</si>
  <si>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</si>
  <si>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</si>
  <si>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</si>
  <si>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</si>
  <si>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</si>
  <si>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</si>
  <si>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</si>
  <si>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</si>
  <si>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</si>
  <si>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</si>
  <si>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</si>
  <si>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</si>
  <si>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</si>
  <si>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</si>
  <si>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</si>
  <si>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</si>
  <si>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</si>
  <si>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</si>
  <si>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</si>
  <si>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</si>
  <si>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</si>
  <si>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</si>
  <si>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</si>
  <si>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</si>
  <si>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</si>
  <si>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</si>
  <si>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</si>
  <si>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</si>
  <si>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</si>
  <si>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</si>
  <si>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</si>
  <si>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</si>
  <si>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</si>
  <si>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</si>
  <si>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</si>
  <si>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</si>
  <si>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</si>
  <si>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</si>
  <si>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</si>
  <si>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</si>
  <si>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</si>
  <si>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</si>
  <si>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</si>
  <si>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</si>
  <si>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</si>
  <si>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</si>
  <si>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</si>
  <si>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</si>
  <si>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</si>
  <si>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</si>
  <si>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</si>
  <si>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</si>
  <si>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</si>
  <si>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</si>
  <si>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</si>
  <si>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</si>
  <si>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</si>
  <si>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</si>
  <si>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</si>
  <si>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</si>
  <si>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</si>
  <si>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</si>
  <si>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</si>
  <si>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</si>
  <si>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</si>
  <si>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</si>
  <si>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</si>
  <si>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</si>
  <si>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</si>
  <si>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</si>
  <si>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</si>
  <si>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</si>
  <si>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</si>
  <si>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</si>
  <si>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</si>
  <si>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</si>
  <si>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</si>
  <si>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</si>
  <si>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</si>
  <si>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</si>
  <si>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</si>
  <si>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</si>
  <si>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</si>
  <si>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</si>
  <si>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</si>
  <si>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</si>
  <si>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</si>
  <si>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</si>
  <si>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</si>
  <si>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</si>
  <si>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</si>
  <si>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</si>
  <si>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</si>
  <si>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</si>
  <si>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</si>
  <si>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</si>
  <si>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</si>
  <si>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</si>
  <si>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</si>
  <si>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</si>
  <si>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</si>
  <si>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</si>
  <si>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</si>
  <si>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</si>
  <si>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</si>
  <si>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</si>
  <si>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</si>
  <si>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</si>
  <si>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</si>
  <si>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</si>
  <si>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</si>
  <si>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</si>
  <si>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</si>
  <si>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</si>
  <si>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</si>
  <si>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</si>
  <si>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</si>
  <si>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</si>
  <si>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</si>
  <si>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</si>
  <si>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</si>
  <si>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</si>
  <si>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</si>
  <si>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</si>
  <si>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</si>
  <si>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</si>
  <si>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</si>
  <si>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</si>
  <si>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</si>
  <si>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</si>
  <si>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</si>
  <si>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</si>
  <si>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</si>
  <si>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</si>
  <si>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</si>
  <si>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</si>
  <si>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</si>
  <si>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</si>
  <si>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</si>
  <si>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</si>
  <si>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</si>
  <si>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</si>
  <si>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</si>
  <si>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</si>
  <si>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</si>
  <si>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</si>
  <si>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</si>
  <si>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</si>
  <si>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</si>
  <si>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</si>
  <si>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</si>
  <si>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</si>
  <si>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</si>
  <si>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</si>
  <si>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</si>
  <si>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</si>
  <si>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</si>
  <si>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</si>
  <si>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</si>
  <si>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</si>
  <si>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</si>
  <si>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</si>
  <si>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</si>
  <si>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</si>
  <si>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</si>
  <si>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</si>
  <si>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</si>
  <si>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</si>
  <si>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</si>
  <si>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</si>
  <si>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</si>
  <si>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</si>
  <si>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</si>
  <si>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</si>
  <si>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</si>
  <si>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</si>
  <si>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</si>
  <si>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</si>
  <si>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</si>
  <si>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</si>
  <si>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</si>
  <si>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</si>
  <si>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</si>
  <si>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</si>
  <si>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</si>
  <si>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</si>
  <si>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</si>
  <si>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</si>
  <si>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</si>
  <si>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</si>
  <si>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</si>
  <si>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</si>
  <si>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</si>
  <si>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</si>
  <si>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</si>
  <si>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</si>
  <si>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</si>
  <si>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</si>
  <si>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</si>
  <si>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</si>
  <si>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</si>
  <si>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</si>
  <si>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</si>
  <si>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</si>
  <si>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</si>
  <si>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</si>
  <si>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</si>
  <si>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</si>
  <si>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</si>
  <si>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</si>
  <si>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</si>
  <si>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</si>
  <si>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</si>
  <si>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</si>
  <si>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</si>
  <si>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</si>
  <si>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</si>
  <si>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</si>
  <si>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</si>
  <si>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</si>
  <si>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</si>
  <si>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</si>
  <si>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</si>
  <si>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</si>
  <si>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</si>
  <si>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</si>
  <si>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</si>
  <si>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</si>
  <si>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</si>
  <si>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</si>
  <si>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</si>
  <si>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</si>
  <si>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</si>
  <si>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</si>
  <si>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</si>
  <si>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</si>
  <si>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</si>
  <si>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</si>
  <si>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</si>
  <si>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</si>
  <si>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</si>
  <si>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</si>
  <si>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</si>
  <si>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</si>
  <si>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</si>
  <si>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</si>
  <si>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</si>
  <si>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</si>
  <si>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</si>
  <si>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</si>
  <si>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</si>
  <si>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</si>
  <si>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</si>
  <si>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</si>
  <si>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</si>
  <si>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</si>
  <si>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</si>
  <si>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</si>
  <si>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</si>
  <si>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</si>
  <si>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</si>
  <si>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</si>
  <si>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</si>
  <si>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</si>
  <si>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</si>
  <si>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</si>
  <si>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</si>
  <si>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</si>
  <si>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</si>
  <si>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</si>
  <si>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</si>
  <si>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</si>
  <si>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</si>
  <si>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</si>
  <si>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</si>
  <si>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</si>
  <si>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</si>
  <si>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</si>
  <si>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</si>
  <si>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</si>
  <si>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</si>
  <si>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</si>
  <si>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</si>
  <si>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</si>
  <si>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</si>
  <si>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</si>
  <si>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</si>
  <si>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</si>
  <si>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</si>
  <si>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</si>
  <si>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</si>
  <si>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</si>
  <si>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</si>
  <si>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</si>
  <si>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</si>
  <si>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</si>
  <si>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</si>
  <si>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</si>
  <si>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</si>
  <si>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</si>
  <si>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</si>
  <si>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</si>
  <si>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</si>
  <si>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</si>
  <si>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</si>
  <si>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</si>
  <si>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</si>
  <si>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</si>
  <si>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</si>
  <si>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</si>
  <si>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</si>
  <si>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</si>
  <si>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</si>
  <si>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</si>
  <si>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</si>
  <si>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</si>
  <si>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</si>
  <si>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</si>
  <si>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</si>
  <si>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</si>
  <si>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</si>
  <si>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</si>
  <si>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</si>
  <si>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</si>
  <si>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</si>
  <si>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</si>
  <si>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</si>
  <si>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</si>
  <si>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</si>
  <si>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</si>
  <si>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</si>
  <si>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</si>
  <si>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</si>
  <si>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</si>
  <si>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</si>
  <si>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</si>
  <si>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</si>
  <si>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</si>
  <si>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</si>
  <si>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</si>
  <si>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</si>
  <si>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</si>
  <si>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</si>
  <si>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</si>
  <si>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</si>
  <si>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</si>
  <si>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</si>
  <si>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</si>
  <si>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</si>
  <si>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</si>
  <si>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</si>
  <si>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</si>
  <si>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</si>
  <si>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</si>
  <si>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</si>
  <si>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</si>
  <si>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</si>
  <si>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</si>
  <si>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</si>
  <si>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</si>
  <si>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</si>
  <si>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</si>
  <si>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</si>
  <si>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</si>
  <si>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</si>
  <si>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</si>
  <si>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</si>
  <si>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</si>
  <si>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</si>
  <si>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</si>
  <si>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</si>
  <si>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</si>
  <si>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</si>
  <si>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</si>
  <si>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</si>
  <si>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</si>
  <si>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</si>
  <si>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</si>
  <si>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</si>
  <si>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</si>
  <si>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</si>
  <si>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</si>
  <si>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</si>
  <si>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</si>
  <si>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</si>
  <si>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</si>
  <si>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</si>
  <si>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</si>
  <si>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</si>
  <si>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</si>
  <si>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</si>
  <si>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</si>
  <si>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</si>
  <si>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</si>
  <si>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</si>
  <si>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</si>
  <si>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</si>
  <si>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</si>
  <si>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</si>
  <si>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</si>
  <si>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</si>
  <si>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</si>
  <si>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</si>
  <si>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</si>
  <si>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</si>
  <si>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</si>
  <si>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</si>
  <si>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</si>
  <si>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</si>
  <si>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</si>
  <si>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</si>
  <si>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</si>
  <si>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</si>
  <si>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</si>
  <si>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</si>
  <si>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</si>
  <si>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</si>
  <si>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</si>
  <si>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</si>
  <si>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</si>
  <si>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</si>
  <si>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</si>
  <si>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</si>
  <si>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</si>
  <si>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</si>
  <si>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</si>
  <si>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</si>
  <si>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</si>
  <si>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</si>
  <si>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</si>
  <si>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</si>
  <si>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</si>
  <si>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</si>
  <si>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</si>
  <si>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</si>
  <si>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</si>
  <si>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</si>
  <si>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</si>
  <si>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</si>
  <si>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</si>
  <si>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</si>
  <si>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</si>
  <si>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</si>
  <si>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</si>
  <si>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</si>
  <si>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</si>
  <si>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</si>
  <si>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</si>
  <si>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</si>
  <si>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</si>
  <si>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</si>
  <si>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</si>
  <si>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</si>
  <si>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</si>
  <si>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</si>
  <si>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</si>
  <si>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</si>
  <si>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</si>
  <si>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</si>
  <si>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</si>
  <si>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</si>
  <si>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</si>
  <si>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</si>
  <si>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</si>
  <si>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</si>
  <si>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</si>
  <si>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</si>
  <si>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</si>
  <si>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</si>
  <si>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</si>
  <si>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</si>
  <si>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</si>
  <si>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</si>
  <si>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</si>
  <si>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</si>
  <si>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</si>
  <si>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</si>
  <si>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</si>
  <si>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</si>
  <si>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</si>
  <si>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</si>
  <si>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</si>
  <si>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</si>
  <si>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</si>
  <si>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</si>
  <si>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</si>
  <si>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</si>
  <si>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</si>
  <si>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</si>
  <si>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</si>
  <si>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</si>
  <si>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</si>
  <si>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</si>
  <si>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</si>
  <si>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</si>
  <si>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</si>
  <si>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</si>
  <si>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</si>
  <si>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</si>
  <si>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</si>
  <si>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</si>
  <si>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</si>
  <si>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</si>
  <si>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</si>
  <si>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</si>
  <si>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</si>
  <si>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</si>
  <si>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</si>
  <si>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</si>
  <si>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</si>
  <si>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</si>
  <si>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</si>
  <si>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</si>
  <si>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</si>
  <si>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</si>
  <si>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</si>
  <si>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</si>
  <si>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</si>
  <si>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</si>
  <si>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</si>
  <si>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</si>
  <si>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</si>
  <si>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</si>
  <si>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</si>
  <si>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</si>
  <si>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</si>
  <si>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</si>
  <si>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</si>
  <si>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</si>
  <si>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</si>
  <si>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</si>
  <si>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</si>
  <si>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</si>
  <si>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</si>
  <si>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</si>
  <si>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</si>
  <si>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</si>
  <si>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</si>
  <si>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</si>
  <si>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</si>
  <si>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</si>
  <si>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</si>
  <si>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</si>
  <si>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</si>
  <si>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</si>
  <si>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</si>
  <si>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</si>
  <si>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</si>
  <si>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</si>
  <si>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</si>
  <si>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</si>
  <si>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</si>
  <si>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</si>
  <si>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</si>
  <si>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</si>
  <si>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</si>
  <si>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</si>
  <si>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</si>
  <si>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</si>
  <si>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</si>
  <si>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</si>
  <si>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</si>
  <si>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</si>
  <si>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</si>
  <si>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</si>
  <si>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</si>
  <si>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</si>
  <si>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</si>
  <si>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</si>
  <si>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</si>
  <si>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</si>
  <si>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</si>
  <si>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</si>
  <si>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</si>
  <si>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</si>
  <si>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</si>
  <si>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</si>
  <si>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</si>
  <si>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</si>
  <si>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</si>
  <si>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</si>
  <si>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</si>
  <si>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</si>
  <si>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</si>
  <si>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</si>
  <si>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</si>
  <si>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</si>
  <si>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</si>
  <si>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</si>
  <si>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</si>
  <si>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</si>
  <si>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</si>
  <si>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</si>
  <si>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</si>
  <si>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</si>
  <si>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</si>
  <si>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</si>
  <si>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</si>
  <si>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</si>
  <si>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</si>
  <si>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</si>
  <si>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</si>
  <si>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</si>
  <si>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</si>
  <si>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</si>
  <si>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</si>
  <si>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</si>
  <si>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</si>
  <si>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</si>
  <si>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</si>
  <si>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</si>
  <si>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</si>
  <si>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</si>
  <si>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</si>
  <si>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</si>
  <si>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</si>
  <si>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</si>
  <si>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</si>
  <si>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</si>
  <si>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</si>
  <si>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</si>
  <si>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</si>
  <si>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</si>
  <si>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</si>
  <si>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</si>
  <si>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</si>
  <si>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</si>
  <si>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</si>
  <si>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</si>
  <si>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</si>
  <si>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</si>
  <si>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</si>
  <si>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</si>
  <si>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</si>
  <si>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</si>
  <si>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</si>
  <si>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</si>
  <si>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</si>
  <si>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</si>
  <si>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</si>
  <si>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</si>
  <si>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</si>
  <si>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</si>
  <si>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</si>
  <si>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</si>
  <si>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</si>
  <si>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</si>
  <si>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</si>
  <si>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</si>
  <si>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</si>
  <si>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</si>
  <si>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</si>
  <si>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</si>
  <si>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</si>
  <si>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</si>
  <si>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</si>
  <si>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</si>
  <si>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</si>
  <si>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</si>
  <si>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</si>
  <si>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</si>
  <si>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</si>
  <si>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</si>
  <si>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</si>
  <si>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</si>
  <si>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</si>
  <si>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</si>
  <si>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</si>
  <si>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</si>
  <si>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</si>
  <si>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</si>
  <si>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</si>
  <si>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</si>
  <si>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</si>
  <si>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</si>
  <si>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</si>
  <si>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</si>
  <si>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</si>
  <si>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</si>
  <si>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</si>
  <si>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</si>
  <si>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</si>
  <si>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</si>
  <si>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</si>
  <si>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</si>
  <si>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</si>
  <si>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</si>
  <si>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</si>
  <si>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</si>
  <si>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</si>
  <si>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</si>
  <si>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</si>
  <si>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</si>
  <si>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</si>
  <si>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</si>
  <si>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</si>
  <si>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</si>
  <si>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</si>
  <si>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</si>
  <si>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</si>
  <si>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</si>
  <si>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</si>
  <si>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</si>
  <si>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</si>
  <si>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</si>
  <si>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</si>
  <si>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</si>
  <si>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</si>
  <si>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</si>
  <si>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</si>
  <si>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</si>
  <si>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</si>
  <si>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</si>
  <si>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</si>
  <si>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</si>
  <si>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</si>
  <si>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</si>
  <si>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</si>
  <si>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</si>
  <si>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</si>
  <si>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</si>
  <si>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</si>
  <si>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</si>
  <si>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</si>
  <si>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</si>
  <si>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</si>
  <si>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</si>
  <si>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</si>
  <si>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</si>
  <si>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</si>
  <si>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</si>
  <si>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</si>
  <si>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</si>
  <si>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</si>
  <si>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</si>
  <si>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</si>
  <si>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</si>
  <si>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</si>
  <si>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</si>
  <si>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</si>
  <si>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</si>
  <si>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</si>
  <si>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</si>
  <si>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</si>
  <si>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</si>
  <si>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</si>
  <si>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</si>
  <si>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</si>
  <si>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</si>
  <si>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</si>
  <si>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</si>
  <si>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</si>
  <si>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</si>
  <si>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</si>
  <si>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</si>
  <si>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</si>
  <si>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</si>
  <si>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</si>
  <si>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</si>
  <si>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</si>
  <si>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</si>
  <si>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</si>
  <si>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</si>
  <si>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</si>
  <si>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</si>
  <si>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</si>
  <si>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</si>
  <si>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</si>
  <si>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</si>
  <si>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</si>
  <si>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</si>
  <si>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</si>
  <si>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</si>
  <si>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</si>
  <si>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</si>
  <si>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</si>
  <si>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</si>
  <si>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</si>
  <si>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</si>
  <si>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</si>
  <si>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</si>
  <si>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</si>
  <si>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</si>
  <si>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</si>
  <si>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</si>
  <si>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</si>
  <si>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</si>
  <si>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</si>
  <si>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</si>
  <si>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</si>
  <si>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</si>
  <si>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</si>
  <si>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</si>
  <si>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</si>
  <si>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</si>
  <si>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</si>
  <si>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</si>
  <si>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</si>
  <si>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</si>
  <si>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</si>
  <si>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</si>
  <si>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</si>
  <si>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</si>
  <si>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</si>
  <si>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</si>
  <si>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</si>
  <si>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</si>
  <si>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</si>
  <si>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</si>
  <si>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</si>
  <si>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</si>
  <si>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</si>
  <si>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</si>
  <si>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</si>
  <si>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</si>
  <si>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</si>
  <si>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</si>
  <si>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</si>
  <si>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</si>
  <si>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</si>
  <si>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</si>
  <si>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</si>
  <si>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</si>
  <si>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</si>
  <si>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</si>
  <si>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</si>
  <si>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</si>
  <si>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</si>
  <si>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</si>
  <si>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</si>
  <si>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</si>
  <si>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</si>
  <si>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</si>
  <si>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</si>
  <si>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</si>
  <si>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</si>
  <si>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</si>
  <si>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</si>
  <si>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</si>
  <si>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</si>
  <si>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</si>
  <si>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</si>
  <si>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</si>
  <si>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</si>
  <si>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</si>
  <si>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</si>
  <si>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</si>
  <si>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</si>
  <si>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</si>
  <si>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</si>
  <si>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</si>
  <si>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</si>
  <si>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</si>
  <si>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</si>
  <si>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</si>
  <si>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</si>
  <si>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</si>
  <si>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</si>
  <si>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</si>
  <si>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</si>
  <si>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</si>
  <si>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</si>
  <si>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</si>
  <si>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</si>
  <si>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</si>
  <si>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</si>
  <si>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</si>
  <si>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</si>
  <si>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</si>
  <si>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</si>
  <si>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</si>
  <si>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</si>
  <si>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</si>
  <si>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</si>
  <si>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</si>
  <si>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</si>
  <si>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</si>
  <si>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</si>
  <si>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</si>
  <si>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</si>
  <si>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</si>
  <si>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</si>
  <si>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</si>
  <si>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</si>
  <si>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</si>
  <si>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</si>
  <si>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</si>
  <si>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</si>
  <si>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</si>
  <si>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</si>
  <si>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</si>
  <si>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</si>
  <si>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</si>
  <si>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</si>
  <si>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</si>
  <si>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</si>
  <si>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</si>
  <si>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</si>
  <si>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</si>
  <si>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</si>
  <si>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</si>
  <si>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</si>
  <si>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</si>
  <si>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</si>
  <si>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</si>
  <si>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</si>
  <si>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</si>
  <si>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</si>
  <si>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</si>
  <si>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</si>
  <si>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</si>
  <si>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</si>
  <si>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</si>
  <si>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</si>
  <si>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</si>
  <si>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</si>
  <si>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</si>
  <si>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</si>
  <si>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</si>
  <si>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</si>
  <si>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</si>
  <si>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</si>
  <si>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</si>
  <si>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</si>
  <si>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</si>
  <si>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</si>
  <si>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</si>
  <si>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</si>
  <si>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</si>
  <si>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</si>
  <si>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</si>
  <si>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</si>
  <si>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</si>
  <si>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</si>
  <si>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</si>
  <si>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</si>
  <si>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</si>
  <si>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</si>
  <si>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</si>
  <si>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</si>
  <si>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</si>
  <si>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</si>
  <si>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</si>
  <si>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</si>
  <si>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</si>
  <si>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</si>
  <si>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</si>
  <si>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</si>
  <si>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</si>
  <si>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</si>
  <si>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</si>
  <si>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</si>
  <si>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</si>
  <si>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</si>
  <si>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</si>
  <si>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</si>
  <si>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</si>
  <si>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</si>
  <si>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</si>
  <si>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</si>
  <si>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</si>
  <si>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</si>
  <si>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</si>
  <si>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</si>
  <si>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</si>
  <si>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</si>
  <si>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</si>
  <si>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</si>
  <si>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</si>
  <si>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</si>
  <si>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</si>
  <si>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</si>
  <si>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</si>
  <si>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</si>
  <si>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</si>
  <si>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</si>
  <si>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</si>
  <si>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</si>
  <si>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</si>
  <si>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</si>
  <si>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</si>
  <si>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</si>
  <si>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</si>
  <si>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</si>
  <si>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</si>
  <si>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</si>
  <si>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</si>
  <si>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</si>
  <si>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</si>
  <si>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</si>
  <si>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</si>
  <si>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</si>
  <si>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</si>
  <si>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</si>
  <si>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</si>
  <si>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</si>
  <si>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</si>
  <si>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</si>
  <si>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</si>
  <si>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</si>
  <si>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</si>
  <si>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</si>
  <si>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</si>
  <si>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</si>
  <si>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</si>
  <si>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</si>
  <si>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</si>
  <si>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</si>
  <si>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</si>
  <si>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</si>
  <si>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</si>
  <si>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</si>
  <si>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</si>
  <si>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</si>
  <si>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</si>
  <si>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</si>
  <si>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</si>
  <si>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</si>
  <si>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</si>
  <si>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</si>
  <si>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</si>
  <si>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</si>
  <si>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</si>
  <si>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</si>
  <si>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</si>
  <si>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</si>
  <si>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</si>
  <si>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</si>
  <si>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</si>
  <si>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</si>
  <si>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</si>
  <si>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</si>
  <si>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</si>
  <si>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</si>
  <si>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</si>
  <si>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</si>
  <si>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</si>
  <si>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</si>
  <si>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</si>
  <si>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</si>
  <si>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</si>
  <si>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</si>
  <si>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</si>
  <si>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</si>
  <si>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</si>
  <si>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</si>
  <si>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</si>
  <si>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</si>
  <si>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</si>
  <si>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</si>
  <si>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</si>
  <si>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</si>
  <si>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</si>
  <si>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</si>
  <si>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</si>
  <si>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</si>
  <si>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</si>
  <si>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</si>
  <si>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</si>
  <si>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</si>
  <si>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</si>
  <si>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</si>
  <si>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</si>
  <si>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</si>
  <si>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</si>
  <si>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</si>
  <si>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</si>
  <si>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</si>
  <si>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</si>
  <si>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</si>
  <si>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</si>
  <si>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</si>
  <si>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</si>
  <si>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</si>
  <si>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</si>
  <si>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</si>
  <si>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</si>
  <si>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</si>
  <si>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</si>
  <si>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</si>
  <si>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</si>
  <si>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</si>
  <si>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</si>
  <si>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</si>
  <si>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</si>
  <si>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</si>
  <si>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</si>
  <si>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</si>
  <si>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</si>
  <si>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</si>
  <si>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</si>
  <si>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</si>
  <si>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</si>
  <si>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</si>
  <si>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</si>
  <si>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</si>
  <si>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</si>
  <si>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</si>
  <si>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</si>
  <si>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</si>
  <si>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</si>
  <si>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</si>
  <si>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</si>
  <si>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</si>
  <si>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</si>
  <si>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</si>
  <si>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</si>
  <si>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</si>
  <si>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</si>
  <si>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</si>
  <si>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</si>
  <si>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</si>
  <si>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</si>
  <si>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</si>
  <si>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</si>
  <si>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</si>
  <si>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</si>
  <si>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</si>
  <si>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</si>
  <si>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</si>
  <si>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</si>
  <si>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</si>
  <si>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</si>
  <si>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</si>
  <si>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</si>
  <si>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</si>
  <si>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</si>
  <si>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</si>
  <si>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</si>
  <si>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</si>
  <si>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</si>
  <si>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</si>
  <si>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</si>
  <si>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</si>
  <si>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</si>
  <si>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</si>
  <si>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</si>
  <si>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</si>
  <si>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</si>
  <si>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</si>
  <si>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</si>
  <si>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</si>
  <si>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</si>
  <si>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</si>
  <si>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</si>
  <si>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</si>
  <si>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</si>
  <si>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</si>
  <si>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</si>
  <si>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</si>
  <si>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</si>
  <si>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</si>
  <si>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</si>
  <si>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</si>
  <si>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</si>
  <si>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</si>
  <si>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</si>
  <si>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</si>
  <si>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</si>
  <si>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</si>
  <si>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</si>
  <si>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</si>
  <si>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</si>
  <si>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</si>
  <si>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</si>
  <si>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</si>
  <si>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</si>
  <si>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</si>
  <si>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</si>
  <si>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</si>
  <si>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</si>
  <si>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</si>
  <si>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</si>
  <si>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</si>
  <si>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</si>
  <si>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</si>
  <si>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</si>
  <si>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</si>
  <si>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</si>
  <si>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</si>
  <si>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</si>
  <si>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</si>
  <si>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</si>
  <si>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</si>
  <si>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</si>
  <si>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</si>
  <si>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</si>
  <si>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</si>
  <si>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</si>
  <si>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</si>
  <si>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</si>
  <si>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</si>
  <si>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</si>
  <si>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</si>
  <si>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</si>
  <si>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</si>
  <si>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</si>
  <si>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</si>
  <si>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</si>
  <si>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</si>
  <si>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</si>
  <si>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</si>
  <si>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</si>
  <si>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</si>
  <si>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</si>
  <si>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</si>
  <si>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</si>
  <si>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</si>
  <si>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</si>
  <si>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</si>
  <si>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</si>
  <si>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</si>
  <si>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</si>
  <si>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</si>
  <si>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</si>
  <si>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</si>
  <si>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</si>
  <si>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</si>
  <si>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</si>
  <si>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</si>
  <si>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</si>
  <si>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</si>
  <si>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</si>
  <si>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</si>
  <si>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</si>
  <si>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</si>
  <si>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</si>
  <si>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</si>
  <si>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</si>
  <si>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</si>
  <si>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</si>
  <si>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</si>
  <si>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</si>
  <si>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</si>
  <si>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</si>
  <si>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</si>
  <si>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</si>
  <si>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</si>
  <si>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</si>
  <si>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</si>
  <si>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</si>
  <si>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</si>
  <si>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</si>
  <si>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</si>
  <si>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</si>
  <si>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</si>
  <si>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</si>
  <si>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</si>
  <si>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</si>
  <si>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</si>
  <si>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</si>
  <si>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</si>
  <si>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</si>
  <si>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</si>
  <si>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</si>
  <si>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</si>
  <si>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</si>
  <si>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</si>
  <si>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</si>
  <si>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</si>
  <si>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</si>
  <si>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</si>
  <si>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</si>
  <si>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</si>
  <si>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</si>
  <si>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</si>
  <si>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</si>
  <si>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</si>
  <si>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</si>
  <si>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</si>
  <si>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</si>
  <si>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</si>
  <si>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</si>
  <si>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</si>
  <si>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</si>
  <si>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</si>
  <si>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</si>
  <si>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</si>
  <si>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</si>
  <si>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</si>
  <si>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</si>
  <si>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</si>
  <si>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</si>
  <si>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</si>
  <si>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</si>
  <si>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</si>
  <si>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</si>
  <si>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</si>
  <si>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</si>
  <si>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</si>
  <si>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</si>
  <si>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</si>
  <si>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</si>
  <si>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</si>
  <si>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</si>
  <si>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</si>
  <si>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</si>
  <si>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</si>
  <si>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</si>
  <si>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</si>
  <si>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</si>
  <si>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</si>
  <si>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</si>
  <si>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</si>
  <si>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</si>
  <si>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</si>
  <si>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</si>
  <si>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</si>
  <si>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</si>
  <si>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</si>
  <si>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</si>
  <si>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</si>
  <si>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</si>
  <si>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</si>
  <si>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</si>
  <si>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</si>
  <si>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</si>
  <si>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</si>
  <si>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</si>
  <si>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</si>
  <si>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</si>
  <si>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</si>
  <si>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</si>
  <si>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</si>
  <si>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</si>
  <si>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</si>
  <si>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</si>
  <si>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</si>
  <si>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</si>
  <si>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</si>
  <si>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</si>
  <si>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</si>
  <si>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</si>
  <si>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</si>
  <si>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</si>
  <si>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</si>
  <si>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</si>
  <si>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</si>
  <si>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</si>
  <si>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</si>
  <si>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</si>
  <si>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</si>
  <si>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</si>
  <si>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</si>
  <si>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</si>
  <si>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</si>
  <si>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</si>
  <si>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</si>
  <si>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</si>
  <si>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</si>
  <si>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</si>
  <si>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</si>
  <si>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</si>
  <si>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</si>
  <si>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</si>
  <si>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</si>
  <si>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</si>
  <si>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</si>
  <si>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</si>
  <si>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</si>
  <si>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</si>
  <si>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</si>
  <si>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</si>
  <si>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</si>
  <si>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</si>
  <si>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</si>
  <si>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</si>
  <si>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</si>
  <si>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</si>
  <si>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</si>
  <si>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</si>
  <si>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</si>
  <si>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</si>
  <si>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</si>
  <si>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</si>
  <si>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</si>
  <si>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</si>
  <si>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</si>
  <si>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</si>
  <si>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</si>
  <si>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</si>
  <si>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</si>
  <si>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</si>
  <si>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</si>
  <si>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</si>
  <si>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</si>
  <si>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</si>
  <si>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</si>
  <si>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</si>
  <si>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</si>
  <si>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</si>
  <si>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</si>
  <si>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</si>
  <si>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</si>
  <si>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</si>
  <si>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</si>
  <si>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</si>
  <si>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</si>
  <si>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</si>
  <si>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</si>
  <si>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</si>
  <si>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</si>
  <si>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</si>
  <si>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</si>
  <si>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</si>
  <si>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</si>
  <si>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</si>
  <si>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</si>
  <si>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</si>
  <si>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</si>
  <si>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</si>
  <si>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</si>
  <si>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</si>
  <si>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</si>
  <si>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</si>
  <si>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</si>
  <si>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</si>
  <si>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</si>
  <si>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</si>
  <si>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</si>
  <si>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</si>
  <si>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</si>
  <si>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</si>
  <si>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</si>
  <si>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</si>
  <si>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</si>
  <si>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</si>
  <si>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</si>
  <si>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</si>
  <si>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</si>
  <si>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</si>
  <si>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</si>
  <si>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</si>
  <si>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</si>
  <si>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</si>
  <si>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</si>
  <si>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</si>
  <si>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</si>
  <si>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</si>
  <si>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</si>
  <si>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</si>
  <si>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</si>
  <si>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</si>
  <si>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</si>
  <si>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</si>
  <si>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</si>
  <si>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</si>
  <si>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</si>
  <si>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</si>
  <si>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</si>
  <si>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</si>
  <si>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</si>
  <si>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</si>
  <si>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</si>
  <si>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</si>
  <si>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</si>
  <si>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</si>
  <si>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</si>
  <si>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</si>
  <si>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</si>
  <si>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</si>
  <si>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</si>
  <si>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</si>
  <si>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</si>
  <si>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</si>
  <si>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</si>
  <si>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</si>
  <si>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</si>
  <si>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</si>
  <si>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</si>
  <si>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</si>
  <si>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</si>
  <si>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</si>
  <si>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</si>
  <si>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</si>
  <si>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</si>
  <si>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</si>
  <si>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</si>
  <si>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</si>
  <si>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</si>
  <si>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</si>
  <si>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</si>
  <si>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</si>
  <si>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</si>
  <si>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</si>
  <si>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</si>
  <si>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</si>
  <si>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</si>
  <si>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</si>
  <si>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</si>
  <si>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</si>
  <si>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</si>
  <si>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</si>
  <si>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</si>
  <si>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</si>
  <si>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</si>
  <si>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</si>
  <si>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</si>
  <si>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</si>
  <si>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</si>
  <si>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</si>
  <si>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</si>
  <si>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</si>
  <si>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</si>
  <si>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</si>
  <si>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</si>
  <si>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</si>
  <si>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</si>
  <si>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</si>
  <si>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</si>
  <si>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</si>
  <si>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</si>
  <si>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</si>
  <si>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</si>
  <si>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</si>
  <si>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</si>
  <si>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</si>
  <si>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</si>
  <si>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</si>
  <si>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</si>
  <si>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</si>
  <si>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</si>
  <si>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</si>
  <si>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</si>
  <si>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</si>
  <si>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</si>
  <si>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</si>
  <si>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</si>
  <si>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</si>
  <si>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</si>
  <si>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</si>
  <si>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</si>
  <si>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</si>
  <si>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</si>
  <si>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</si>
  <si>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</si>
  <si>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</si>
  <si>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</si>
  <si>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</si>
  <si>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</si>
  <si>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</si>
  <si>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</si>
  <si>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</si>
  <si>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</si>
  <si>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</si>
  <si>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</si>
  <si>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</si>
  <si>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</si>
  <si>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</si>
  <si>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</si>
  <si>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</si>
  <si>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</si>
  <si>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</si>
  <si>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</si>
  <si>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</si>
  <si>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</si>
  <si>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</si>
  <si>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</si>
  <si>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</si>
  <si>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</si>
  <si>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</si>
  <si>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</si>
  <si>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</si>
  <si>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</si>
  <si>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</si>
  <si>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</si>
  <si>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</si>
  <si>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</si>
  <si>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</si>
  <si>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</si>
  <si>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</si>
  <si>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</si>
  <si>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</si>
  <si>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</si>
  <si>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</si>
  <si>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</si>
  <si>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</si>
  <si>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</si>
  <si>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</si>
  <si>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</si>
  <si>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</si>
  <si>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</si>
  <si>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</si>
  <si>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</si>
  <si>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</si>
  <si>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</si>
  <si>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</si>
  <si>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</si>
  <si>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</si>
  <si>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</si>
  <si>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</si>
  <si>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</si>
  <si>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</si>
  <si>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</si>
  <si>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</si>
  <si>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</si>
  <si>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</si>
  <si>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</si>
  <si>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</si>
  <si>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</si>
  <si>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</si>
  <si>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</si>
  <si>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</si>
  <si>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</si>
  <si>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</si>
  <si>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</si>
  <si>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</si>
  <si>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</si>
  <si>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</si>
  <si>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</si>
  <si>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</si>
  <si>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</si>
  <si>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</si>
  <si>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</si>
  <si>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</si>
  <si>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</si>
  <si>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</si>
  <si>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</si>
  <si>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</si>
  <si>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</si>
  <si>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</si>
  <si>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</si>
  <si>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</si>
  <si>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</si>
  <si>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</si>
  <si>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</si>
  <si>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</si>
  <si>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</si>
  <si>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</si>
  <si>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</si>
  <si>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</si>
  <si>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</si>
  <si>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</si>
  <si>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</si>
  <si>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</si>
  <si>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</si>
  <si>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</si>
  <si>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</si>
  <si>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</si>
  <si>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</si>
  <si>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</si>
  <si>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</si>
  <si>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</si>
  <si>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</si>
  <si>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</si>
  <si>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</si>
  <si>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</si>
  <si>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</si>
  <si>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</si>
  <si>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</si>
  <si>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</si>
  <si>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</si>
  <si>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</si>
  <si>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</si>
  <si>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</si>
  <si>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</si>
  <si>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</si>
  <si>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</si>
  <si>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</si>
  <si>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</si>
  <si>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</si>
  <si>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</si>
  <si>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</si>
  <si>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</si>
  <si>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</si>
  <si>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</si>
  <si>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</si>
  <si>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</si>
  <si>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</si>
  <si>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</si>
  <si>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</si>
  <si>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</si>
  <si>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</si>
  <si>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</si>
  <si>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</si>
  <si>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</si>
  <si>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</si>
  <si>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</si>
  <si>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</si>
  <si>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</si>
  <si>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</si>
  <si>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</si>
  <si>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</si>
  <si>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</si>
  <si>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</si>
  <si>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</si>
  <si>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</si>
  <si>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</si>
  <si>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</si>
  <si>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</si>
  <si>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</si>
  <si>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</si>
  <si>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</si>
  <si>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</si>
  <si>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</si>
  <si>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</si>
  <si>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</si>
  <si>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</si>
  <si>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</si>
  <si>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</si>
  <si>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</si>
  <si>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</si>
  <si>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</si>
  <si>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</si>
  <si>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</si>
  <si>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</si>
  <si>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</si>
  <si>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</si>
  <si>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</si>
  <si>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</si>
  <si>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</si>
  <si>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</si>
  <si>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</si>
  <si>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</si>
  <si>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</si>
  <si>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</si>
  <si>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</si>
  <si>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</si>
  <si>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</si>
  <si>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</si>
  <si>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</si>
  <si>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</si>
  <si>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</si>
  <si>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</si>
  <si>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</si>
  <si>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</si>
  <si>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</si>
  <si>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</si>
  <si>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</si>
  <si>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</si>
  <si>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</si>
  <si>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</si>
  <si>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</si>
  <si>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</si>
  <si>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</si>
  <si>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</si>
  <si>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</si>
  <si>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</si>
  <si>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</si>
  <si>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</si>
  <si>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</si>
  <si>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</si>
  <si>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</si>
  <si>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</si>
  <si>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</si>
  <si>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</si>
  <si>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</si>
  <si>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</si>
  <si>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</si>
  <si>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</si>
  <si>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</si>
  <si>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</si>
  <si>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</si>
  <si>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</si>
  <si>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</si>
  <si>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</si>
  <si>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</si>
  <si>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</si>
  <si>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</si>
  <si>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</si>
  <si>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</si>
  <si>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</si>
  <si>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</si>
  <si>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</si>
  <si>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</si>
  <si>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</si>
  <si>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</si>
  <si>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</si>
  <si>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</si>
  <si>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</si>
  <si>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</si>
  <si>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</si>
  <si>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</si>
  <si>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</si>
  <si>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</si>
  <si>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</si>
  <si>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</si>
  <si>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</si>
  <si>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</si>
  <si>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</si>
  <si>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</si>
  <si>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</si>
  <si>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</si>
  <si>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</si>
  <si>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</si>
  <si>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</si>
  <si>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</si>
  <si>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</si>
  <si>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</si>
  <si>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</si>
  <si>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</si>
  <si>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</si>
  <si>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</si>
  <si>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</si>
  <si>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</si>
  <si>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</si>
  <si>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</si>
  <si>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</si>
  <si>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</si>
  <si>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</si>
  <si>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</si>
  <si>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</si>
  <si>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</si>
  <si>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</si>
  <si>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</si>
  <si>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</si>
  <si>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</si>
  <si>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</si>
  <si>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</si>
  <si>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</si>
  <si>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</si>
  <si>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</si>
  <si>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</si>
  <si>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</si>
  <si>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</si>
  <si>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</si>
  <si>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</si>
  <si>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</si>
  <si>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</si>
  <si>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</si>
  <si>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</si>
  <si>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</si>
  <si>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</si>
  <si>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</si>
  <si>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</si>
  <si>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</si>
  <si>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</si>
  <si>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</si>
  <si>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</si>
  <si>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</si>
  <si>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</si>
  <si>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</si>
  <si>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</si>
  <si>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</si>
  <si>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</si>
  <si>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</si>
  <si>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</si>
  <si>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</si>
  <si>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</si>
  <si>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</si>
  <si>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</si>
  <si>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</si>
  <si>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</si>
  <si>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</si>
  <si>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</si>
  <si>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</si>
  <si>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</si>
  <si>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</si>
  <si>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</si>
  <si>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</si>
  <si>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</si>
  <si>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</si>
  <si>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</si>
  <si>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</si>
  <si>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</si>
  <si>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</si>
  <si>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</si>
  <si>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</si>
  <si>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</si>
  <si>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</si>
  <si>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</si>
  <si>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</si>
  <si>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</si>
  <si>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</si>
  <si>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</si>
  <si>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</si>
  <si>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</si>
  <si>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</si>
  <si>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</si>
  <si>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</si>
  <si>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</si>
  <si>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</si>
  <si>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</si>
  <si>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</si>
  <si>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</si>
  <si>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</si>
  <si>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</si>
  <si>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</si>
  <si>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</si>
  <si>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</si>
  <si>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</si>
  <si>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</si>
  <si>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</si>
  <si>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</si>
  <si>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</si>
  <si>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</si>
  <si>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</si>
  <si>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</si>
  <si>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</si>
  <si>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</si>
  <si>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</si>
  <si>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</si>
  <si>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</si>
  <si>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</si>
  <si>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</si>
  <si>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</si>
  <si>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</si>
  <si>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</si>
  <si>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</si>
  <si>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</si>
  <si>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</si>
  <si>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</si>
  <si>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</si>
  <si>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</si>
  <si>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</si>
  <si>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</si>
  <si>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</si>
  <si>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</si>
  <si>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</si>
  <si>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</si>
  <si>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</si>
  <si>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</si>
  <si>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</si>
  <si>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</si>
  <si>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</si>
  <si>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</si>
  <si>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</si>
  <si>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</si>
  <si>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</si>
  <si>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</si>
  <si>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</si>
  <si>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</si>
  <si>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</si>
  <si>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</si>
  <si>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</si>
  <si>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</si>
  <si>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</si>
  <si>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</si>
  <si>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</si>
  <si>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</si>
  <si>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</si>
  <si>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</si>
  <si>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</si>
  <si>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</si>
  <si>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</si>
  <si>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</si>
  <si>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</si>
  <si>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</si>
  <si>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</si>
  <si>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</si>
  <si>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</si>
  <si>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</si>
  <si>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</si>
  <si>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</si>
  <si>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</si>
  <si>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</si>
  <si>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</si>
  <si>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</si>
  <si>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</si>
  <si>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</si>
  <si>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</si>
  <si>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</si>
  <si>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</si>
  <si>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</si>
  <si>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</si>
  <si>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</si>
  <si>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</si>
  <si>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</si>
  <si>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</si>
  <si>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</si>
  <si>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</si>
  <si>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</si>
  <si>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</si>
  <si>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</si>
  <si>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</si>
  <si>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</si>
  <si>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</si>
  <si>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</si>
  <si>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</si>
  <si>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</si>
  <si>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</si>
  <si>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</si>
  <si>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</si>
  <si>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</si>
  <si>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</si>
  <si>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</si>
  <si>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</si>
  <si>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</si>
  <si>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</si>
  <si>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</si>
  <si>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</si>
  <si>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</si>
  <si>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</si>
  <si>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</si>
  <si>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</si>
  <si>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</si>
  <si>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</si>
  <si>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</si>
  <si>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</si>
  <si>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</si>
  <si>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</si>
  <si>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</si>
  <si>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</si>
  <si>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</si>
  <si>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</si>
  <si>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</si>
  <si>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</si>
  <si>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</si>
  <si>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</si>
  <si>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</si>
  <si>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</si>
  <si>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</si>
  <si>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</si>
  <si>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</si>
  <si>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</si>
  <si>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</si>
  <si>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</si>
  <si>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</si>
  <si>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</si>
  <si>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</si>
  <si>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</si>
  <si>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</si>
  <si>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</si>
  <si>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</si>
  <si>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</si>
  <si>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</si>
  <si>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</si>
  <si>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</si>
  <si>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</si>
  <si>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</si>
  <si>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</si>
  <si>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</si>
  <si>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</si>
  <si>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</si>
  <si>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</si>
  <si>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</si>
  <si>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</si>
  <si>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</si>
  <si>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</si>
  <si>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</si>
  <si>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</si>
  <si>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</si>
  <si>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</si>
  <si>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</si>
  <si>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</si>
  <si>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</si>
  <si>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</si>
  <si>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</si>
  <si>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</si>
  <si>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</si>
  <si>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</si>
  <si>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</si>
  <si>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</si>
  <si>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</si>
  <si>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</si>
  <si>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</si>
  <si>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</si>
  <si>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</si>
  <si>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</si>
  <si>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</si>
  <si>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</si>
  <si>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</si>
  <si>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</si>
  <si>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</si>
  <si>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</si>
  <si>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</si>
  <si>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</si>
  <si>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</si>
  <si>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</si>
  <si>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</si>
  <si>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</si>
  <si>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</si>
  <si>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</si>
  <si>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</si>
  <si>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</si>
  <si>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</si>
  <si>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</si>
  <si>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</si>
  <si>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</si>
  <si>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</si>
  <si>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</si>
  <si>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</si>
  <si>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</si>
  <si>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</si>
  <si>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</si>
  <si>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</si>
  <si>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</si>
  <si>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</si>
  <si>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</si>
  <si>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</si>
  <si>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</si>
  <si>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</si>
  <si>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</si>
  <si>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</si>
  <si>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</si>
  <si>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</si>
  <si>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</si>
  <si>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</si>
  <si>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</si>
  <si>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</si>
  <si>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</si>
  <si>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</si>
  <si>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</si>
  <si>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</si>
  <si>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</si>
  <si>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</si>
  <si>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</si>
  <si>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</si>
  <si>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</si>
  <si>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</si>
  <si>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</si>
  <si>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</si>
  <si>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</si>
  <si>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</si>
  <si>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</si>
  <si>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</si>
  <si>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</si>
  <si>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</si>
  <si>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</si>
  <si>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</si>
  <si>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</si>
  <si>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</si>
  <si>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</si>
  <si>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</si>
  <si>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</si>
  <si>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</si>
  <si>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</si>
  <si>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</si>
  <si>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</si>
  <si>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</si>
  <si>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</si>
  <si>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</si>
  <si>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</si>
  <si>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</si>
  <si>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</si>
  <si>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</si>
  <si>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</si>
  <si>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</si>
  <si>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</si>
  <si>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</si>
  <si>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</si>
  <si>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</si>
  <si>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</si>
  <si>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</si>
  <si>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</si>
  <si>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</si>
  <si>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</si>
  <si>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</si>
  <si>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</si>
  <si>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</si>
  <si>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</si>
  <si>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</si>
  <si>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</si>
  <si>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</si>
  <si>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</si>
  <si>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</si>
  <si>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</si>
  <si>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</si>
  <si>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</si>
  <si>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</si>
  <si>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</si>
  <si>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</si>
  <si>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</si>
  <si>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</si>
  <si>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</si>
  <si>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</si>
  <si>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</si>
  <si>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</si>
  <si>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</si>
  <si>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</si>
  <si>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</si>
  <si>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</si>
  <si>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</si>
  <si>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</si>
  <si>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</si>
  <si>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</si>
  <si>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</si>
  <si>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</si>
  <si>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</si>
  <si>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</si>
  <si>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</si>
  <si>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</si>
  <si>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</si>
  <si>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</si>
  <si>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</si>
  <si>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</si>
  <si>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</si>
  <si>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</si>
  <si>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</si>
  <si>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</si>
  <si>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</si>
  <si>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</si>
  <si>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</si>
  <si>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</si>
  <si>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</si>
  <si>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</si>
  <si>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</si>
  <si>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</si>
  <si>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</si>
  <si>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</si>
  <si>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</si>
  <si>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</si>
  <si>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</si>
  <si>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</si>
  <si>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</si>
  <si>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</si>
  <si>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</si>
  <si>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</si>
  <si>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</si>
  <si>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</si>
  <si>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</si>
  <si>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</si>
  <si>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</si>
  <si>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</si>
  <si>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</si>
  <si>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</si>
  <si>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</si>
  <si>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</si>
  <si>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</si>
  <si>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</si>
  <si>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</si>
  <si>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</si>
  <si>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</si>
  <si>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</si>
  <si>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</si>
  <si>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</si>
  <si>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</si>
  <si>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</si>
  <si>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</si>
  <si>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</si>
  <si>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</si>
  <si>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</si>
  <si>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</si>
  <si>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</si>
  <si>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</si>
  <si>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</si>
  <si>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</si>
  <si>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</si>
  <si>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</si>
  <si>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</si>
  <si>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</si>
  <si>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</si>
  <si>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</si>
  <si>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</si>
  <si>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</si>
  <si>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</si>
  <si>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</si>
  <si>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</si>
  <si>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</si>
  <si>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</si>
  <si>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</si>
  <si>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</si>
  <si>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</si>
  <si>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</si>
  <si>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</si>
  <si>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</si>
  <si>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</si>
  <si>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</si>
  <si>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</si>
  <si>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</si>
  <si>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</si>
  <si>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</si>
  <si>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</si>
  <si>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</si>
  <si>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</si>
  <si>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</si>
  <si>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</si>
  <si>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</si>
  <si>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</si>
  <si>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</si>
  <si>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</si>
  <si>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</si>
  <si>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</si>
  <si>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</si>
  <si>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</si>
  <si>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</si>
  <si>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</si>
  <si>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</si>
  <si>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</si>
  <si>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</si>
  <si>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</si>
  <si>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</si>
  <si>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</si>
  <si>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</si>
  <si>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</si>
  <si>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</si>
  <si>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</si>
  <si>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</si>
  <si>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</si>
  <si>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</si>
  <si>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</si>
  <si>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</si>
  <si>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</si>
  <si>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</si>
  <si>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</si>
  <si>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</si>
  <si>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</si>
  <si>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</si>
  <si>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</si>
  <si>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</si>
  <si>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</si>
  <si>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</si>
  <si>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</si>
  <si>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</si>
  <si>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</si>
  <si>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</si>
  <si>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</si>
  <si>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</si>
  <si>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</si>
  <si>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</si>
  <si>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</si>
  <si>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</si>
  <si>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</si>
  <si>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</si>
  <si>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</si>
  <si>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</si>
  <si>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</si>
  <si>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</si>
  <si>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</si>
  <si>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</si>
  <si>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</si>
  <si>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</si>
  <si>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</si>
  <si>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</si>
  <si>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</si>
  <si>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</si>
  <si>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</si>
  <si>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</si>
  <si>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</si>
  <si>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</si>
  <si>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</si>
  <si>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</si>
  <si>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</si>
  <si>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</si>
  <si>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</si>
  <si>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</si>
  <si>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</si>
  <si>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</si>
  <si>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</si>
  <si>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</si>
  <si>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</si>
  <si>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</si>
  <si>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</si>
  <si>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</si>
  <si>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</si>
  <si>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</si>
  <si>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</si>
  <si>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</si>
  <si>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</si>
  <si>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</si>
  <si>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</si>
  <si>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</si>
  <si>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</si>
  <si>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</si>
  <si>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</si>
  <si>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</si>
  <si>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</si>
  <si>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</si>
  <si>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</si>
  <si>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</si>
  <si>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</si>
  <si>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</si>
  <si>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</si>
  <si>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</si>
  <si>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</si>
  <si>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</si>
  <si>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</si>
  <si>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</si>
  <si>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</si>
  <si>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</si>
  <si>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</si>
  <si>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</si>
  <si>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</si>
  <si>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</si>
  <si>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</si>
  <si>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</si>
  <si>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</si>
  <si>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</si>
  <si>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</si>
  <si>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</si>
  <si>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</si>
  <si>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</si>
  <si>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</si>
  <si>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</si>
  <si>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</si>
  <si>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</si>
  <si>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</si>
  <si>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</si>
  <si>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</si>
  <si>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</si>
  <si>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</si>
  <si>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</si>
  <si>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</si>
  <si>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</si>
  <si>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</si>
  <si>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</si>
  <si>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</si>
  <si>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</si>
  <si>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</si>
  <si>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</si>
  <si>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</si>
  <si>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</si>
  <si>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</si>
  <si>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</si>
  <si>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</si>
  <si>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</si>
  <si>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</si>
  <si>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</si>
  <si>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</si>
  <si>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</si>
  <si>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</si>
  <si>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</si>
  <si>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</si>
  <si>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</si>
  <si>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</si>
  <si>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</si>
  <si>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</si>
  <si>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</si>
  <si>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</si>
  <si>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</si>
  <si>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</si>
  <si>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</si>
  <si>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</si>
  <si>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</si>
  <si>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</si>
  <si>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</si>
  <si>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</si>
  <si>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</si>
  <si>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</si>
  <si>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</si>
  <si>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</si>
  <si>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</si>
  <si>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</si>
  <si>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</si>
  <si>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</si>
  <si>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</si>
  <si>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</si>
  <si>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</si>
  <si>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</si>
  <si>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</si>
  <si>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</si>
  <si>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</si>
  <si>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</si>
  <si>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</si>
  <si>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</si>
  <si>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</si>
  <si>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</si>
  <si>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</si>
  <si>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</si>
  <si>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</si>
  <si>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</si>
  <si>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</si>
  <si>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</si>
  <si>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</si>
  <si>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</si>
  <si>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</si>
  <si>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</si>
  <si>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</si>
  <si>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</si>
  <si>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</si>
  <si>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</si>
  <si>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</si>
  <si>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</si>
  <si>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</si>
  <si>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</si>
  <si>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</si>
  <si>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</si>
  <si>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</si>
  <si>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</si>
  <si>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</si>
  <si>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</si>
  <si>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</si>
  <si>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</si>
  <si>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</si>
  <si>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</si>
  <si>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</si>
  <si>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</si>
  <si>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</si>
  <si>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</si>
  <si>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</si>
  <si>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</si>
  <si>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</si>
  <si>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</si>
  <si>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</si>
  <si>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</si>
  <si>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</si>
  <si>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</si>
  <si>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</si>
  <si>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</si>
  <si>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</si>
  <si>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</si>
  <si>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</si>
  <si>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</si>
  <si>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</si>
  <si>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</si>
  <si>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</si>
  <si>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</si>
  <si>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</si>
  <si>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</si>
  <si>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</si>
  <si>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</si>
  <si>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</si>
  <si>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</si>
  <si>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</si>
  <si>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</si>
  <si>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</si>
  <si>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</si>
  <si>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</si>
  <si>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</si>
  <si>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</si>
  <si>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</si>
  <si>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</si>
  <si>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</si>
  <si>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</si>
  <si>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</si>
  <si>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</si>
  <si>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</si>
  <si>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</si>
  <si>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</si>
  <si>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</si>
  <si>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</si>
  <si>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</si>
  <si>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</si>
  <si>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</si>
  <si>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</si>
  <si>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</si>
  <si>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</si>
  <si>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</si>
  <si>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</si>
  <si>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</si>
  <si>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</si>
  <si>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</si>
  <si>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</si>
  <si>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</si>
  <si>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</si>
  <si>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</si>
  <si>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</si>
  <si>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</si>
  <si>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</si>
  <si>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</si>
  <si>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</si>
  <si>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</si>
  <si>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</si>
  <si>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</si>
  <si>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</si>
  <si>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</si>
  <si>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</si>
  <si>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</si>
  <si>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</si>
  <si>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</si>
  <si>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</si>
  <si>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</si>
  <si>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</si>
  <si>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</si>
  <si>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</si>
  <si>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</si>
  <si>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</si>
  <si>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</si>
  <si>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</si>
  <si>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</si>
  <si>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</si>
  <si>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</si>
  <si>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</si>
  <si>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</si>
  <si>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</si>
  <si>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</si>
  <si>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</si>
  <si>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</si>
  <si>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</si>
  <si>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</si>
  <si>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</si>
  <si>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</si>
  <si>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</si>
  <si>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</si>
  <si>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</si>
  <si>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</si>
  <si>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</si>
  <si>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</si>
  <si>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</si>
  <si>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</si>
  <si>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</si>
  <si>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</si>
  <si>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</si>
  <si>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</si>
  <si>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</si>
  <si>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</si>
  <si>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</si>
  <si>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</si>
  <si>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</si>
  <si>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</si>
  <si>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</si>
  <si>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</si>
  <si>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</si>
  <si>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</si>
  <si>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</si>
  <si>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</si>
  <si>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</si>
  <si>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</si>
  <si>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</si>
  <si>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</si>
  <si>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</si>
  <si>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</si>
  <si>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</si>
  <si>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</si>
  <si>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</si>
  <si>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</si>
  <si>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</si>
  <si>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</si>
  <si>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</si>
  <si>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</si>
  <si>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</si>
  <si>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</si>
  <si>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</si>
  <si>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</si>
  <si>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</si>
  <si>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</si>
  <si>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</si>
  <si>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</si>
  <si>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</si>
  <si>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</si>
  <si>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</si>
  <si>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</si>
  <si>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</si>
  <si>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</si>
  <si>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</si>
  <si>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</si>
  <si>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</si>
  <si>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</si>
  <si>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</si>
  <si>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</si>
  <si>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</si>
  <si>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</si>
  <si>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</si>
  <si>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</si>
  <si>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</si>
  <si>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</si>
  <si>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</si>
  <si>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</si>
  <si>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</si>
  <si>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</si>
  <si>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</si>
  <si>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</si>
  <si>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</si>
  <si>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</si>
  <si>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</si>
  <si>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</si>
  <si>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</si>
  <si>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</si>
  <si>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</si>
  <si>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</si>
  <si>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</si>
  <si>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</si>
  <si>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</si>
  <si>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</si>
  <si>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</si>
  <si>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</si>
  <si>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</si>
  <si>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</si>
  <si>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</si>
  <si>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</si>
  <si>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</si>
  <si>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</si>
  <si>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</si>
  <si>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</si>
  <si>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</si>
  <si>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</si>
  <si>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</si>
  <si>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</si>
  <si>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</si>
  <si>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</si>
  <si>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</si>
  <si>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</si>
  <si>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</si>
  <si>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</si>
  <si>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</si>
  <si>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</si>
  <si>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</si>
  <si>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</si>
  <si>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</si>
  <si>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</si>
  <si>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</si>
  <si>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</si>
  <si>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</si>
  <si>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</si>
  <si>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</si>
  <si>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</si>
  <si>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</si>
  <si>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</si>
  <si>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</si>
  <si>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</si>
  <si>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</si>
  <si>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</si>
  <si>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</si>
  <si>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</si>
  <si>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</si>
  <si>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</si>
  <si>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</si>
  <si>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</si>
  <si>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</si>
  <si>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</si>
  <si>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</si>
  <si>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</si>
  <si>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</si>
  <si>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</si>
  <si>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</si>
  <si>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</si>
  <si>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</si>
  <si>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</si>
  <si>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</si>
  <si>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</si>
  <si>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</si>
  <si>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</si>
  <si>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</si>
  <si>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</si>
  <si>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</si>
  <si>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</si>
  <si>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</si>
  <si>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</si>
  <si>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</si>
  <si>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</si>
  <si>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</si>
  <si>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</si>
  <si>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</si>
  <si>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</si>
  <si>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</si>
  <si>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</si>
  <si>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</si>
  <si>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</si>
  <si>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</si>
  <si>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</si>
  <si>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</si>
  <si>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</si>
  <si>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</si>
  <si>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</si>
  <si>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</si>
  <si>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</si>
  <si>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</si>
  <si>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</si>
  <si>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</si>
  <si>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</si>
  <si>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</si>
  <si>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</si>
  <si>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</si>
  <si>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</si>
  <si>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</si>
  <si>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</si>
  <si>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</si>
  <si>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</si>
  <si>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</si>
  <si>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</si>
  <si>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</si>
  <si>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</si>
  <si>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</si>
  <si>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</si>
  <si>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</si>
  <si>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</si>
  <si>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</si>
  <si>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</si>
  <si>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</si>
  <si>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</si>
  <si>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</si>
  <si>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</si>
  <si>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</si>
  <si>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</si>
  <si>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</si>
  <si>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</si>
  <si>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</si>
  <si>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</si>
  <si>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</si>
  <si>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</si>
  <si>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</si>
  <si>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</si>
  <si>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</si>
  <si>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</si>
  <si>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</si>
  <si>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</si>
  <si>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</si>
  <si>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</si>
  <si>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</si>
  <si>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</si>
  <si>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</si>
  <si>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</si>
  <si>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</si>
  <si>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</si>
  <si>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</si>
  <si>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</si>
  <si>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</si>
  <si>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</si>
  <si>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</si>
  <si>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</si>
  <si>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</si>
  <si>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</si>
  <si>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</si>
  <si>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</si>
  <si>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</si>
  <si>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</si>
  <si>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</si>
  <si>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</si>
  <si>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</si>
  <si>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</si>
  <si>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</si>
  <si>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</si>
  <si>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</si>
  <si>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</si>
  <si>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</si>
  <si>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</si>
  <si>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</si>
  <si>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</si>
  <si>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</si>
  <si>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</si>
  <si>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</si>
  <si>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</si>
  <si>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</si>
  <si>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</si>
  <si>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</si>
  <si>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</si>
  <si>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</si>
  <si>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</si>
  <si>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</si>
  <si>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</si>
  <si>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</si>
  <si>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</si>
  <si>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</si>
  <si>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</si>
  <si>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</si>
  <si>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</si>
  <si>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</si>
  <si>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</si>
  <si>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</si>
  <si>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</si>
  <si>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</si>
  <si>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</si>
  <si>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</si>
  <si>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</si>
  <si>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</si>
  <si>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</si>
  <si>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</si>
  <si>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</si>
  <si>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</si>
  <si>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</si>
  <si>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</si>
  <si>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</si>
  <si>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</si>
  <si>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</si>
  <si>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</si>
  <si>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</si>
  <si>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</si>
  <si>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</si>
  <si>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</si>
  <si>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</si>
  <si>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</si>
  <si>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</si>
  <si>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</si>
  <si>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</si>
  <si>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</si>
  <si>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</si>
  <si>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</si>
  <si>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</si>
  <si>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</si>
  <si>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</si>
  <si>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</si>
  <si>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</si>
  <si>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</si>
  <si>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</si>
  <si>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</si>
  <si>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</si>
  <si>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</si>
  <si>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</si>
  <si>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</si>
  <si>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</si>
  <si>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</si>
  <si>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</si>
  <si>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</si>
  <si>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</si>
  <si>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</si>
  <si>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</si>
  <si>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</si>
  <si>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</si>
  <si>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</si>
  <si>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</si>
  <si>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</si>
  <si>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</si>
  <si>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</si>
  <si>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</si>
  <si>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</si>
  <si>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</si>
  <si>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</si>
  <si>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</si>
  <si>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</si>
  <si>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</si>
  <si>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</si>
  <si>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</si>
  <si>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</si>
  <si>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</si>
  <si>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</si>
  <si>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</si>
  <si>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</si>
  <si>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</si>
  <si>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</si>
  <si>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</si>
  <si>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</si>
  <si>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</si>
  <si>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</si>
  <si>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</si>
  <si>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</si>
  <si>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</si>
  <si>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</si>
  <si>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</si>
  <si>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</si>
  <si>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</si>
  <si>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</si>
  <si>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</si>
  <si>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</si>
  <si>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</si>
  <si>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</si>
  <si>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</si>
  <si>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</si>
  <si>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</si>
  <si>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</si>
  <si>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</si>
  <si>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</si>
  <si>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</si>
  <si>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</si>
  <si>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</si>
  <si>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</si>
  <si>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</si>
  <si>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</si>
  <si>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</si>
  <si>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</si>
  <si>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</si>
  <si>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</si>
  <si>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</si>
  <si>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</si>
  <si>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</si>
  <si>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</si>
  <si>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</si>
  <si>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</si>
  <si>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</si>
  <si>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</si>
  <si>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</si>
  <si>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</si>
  <si>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</si>
  <si>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</si>
  <si>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</si>
  <si>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</si>
  <si>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</si>
  <si>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</si>
  <si>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</si>
  <si>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</si>
  <si>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</si>
  <si>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</si>
  <si>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</si>
  <si>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</si>
  <si>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</si>
  <si>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</si>
  <si>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</si>
  <si>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</si>
  <si>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</si>
  <si>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</si>
  <si>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</si>
  <si>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</si>
  <si>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</si>
  <si>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</si>
  <si>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</si>
  <si>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</si>
  <si>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</si>
  <si>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</si>
  <si>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</si>
  <si>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</si>
  <si>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</si>
  <si>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</si>
  <si>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</si>
  <si>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</si>
  <si>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</si>
  <si>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</si>
  <si>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</si>
  <si>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</si>
  <si>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</si>
  <si>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</si>
  <si>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</si>
  <si>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</si>
  <si>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</si>
  <si>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</si>
  <si>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</si>
  <si>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</si>
  <si>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</si>
  <si>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</si>
  <si>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</si>
  <si>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</si>
  <si>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</si>
  <si>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</si>
  <si>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</si>
  <si>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</si>
  <si>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</si>
  <si>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</si>
  <si>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</si>
  <si>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</si>
  <si>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</si>
  <si>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</si>
  <si>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</si>
  <si>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</si>
  <si>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</si>
  <si>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</si>
  <si>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</si>
  <si>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</si>
  <si>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</si>
  <si>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</si>
  <si>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</si>
  <si>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</si>
  <si>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</si>
  <si>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</si>
  <si>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</si>
  <si>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</si>
  <si>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</si>
  <si>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</si>
  <si>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</si>
  <si>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</si>
  <si>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</si>
  <si>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</si>
  <si>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</si>
  <si>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</si>
  <si>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</si>
  <si>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</si>
  <si>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</si>
  <si>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</si>
  <si>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</si>
  <si>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</si>
  <si>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</si>
  <si>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</si>
  <si>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</si>
  <si>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</si>
  <si>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</si>
  <si>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</si>
  <si>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</si>
  <si>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</si>
  <si>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</si>
  <si>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</si>
  <si>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</si>
  <si>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</si>
  <si>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</si>
  <si>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</si>
  <si>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</si>
  <si>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</si>
  <si>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</si>
  <si>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</si>
  <si>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</si>
  <si>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</si>
  <si>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</si>
  <si>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</si>
  <si>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</si>
  <si>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</si>
  <si>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</si>
  <si>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</si>
  <si>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</si>
  <si>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</si>
  <si>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</si>
  <si>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</si>
  <si>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</si>
  <si>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</si>
  <si>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</si>
  <si>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</si>
  <si>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</si>
  <si>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</si>
  <si>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</si>
  <si>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</si>
  <si>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</si>
  <si>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</si>
  <si>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</si>
  <si>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</si>
  <si>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</si>
  <si>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</si>
  <si>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</si>
  <si>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</si>
  <si>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</si>
  <si>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</si>
  <si>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</si>
  <si>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</si>
  <si>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</si>
  <si>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</si>
  <si>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</si>
  <si>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</si>
  <si>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</si>
  <si>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</si>
  <si>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</si>
  <si>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</si>
  <si>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</si>
  <si>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</si>
  <si>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</si>
  <si>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</si>
  <si>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</si>
  <si>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</si>
  <si>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</si>
  <si>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</si>
  <si>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</si>
  <si>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</si>
  <si>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</si>
  <si>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</si>
  <si>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</si>
  <si>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</si>
  <si>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</si>
  <si>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</si>
  <si>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</si>
  <si>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</si>
  <si>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</si>
  <si>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</si>
  <si>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</si>
  <si>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</si>
  <si>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</si>
  <si>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</si>
  <si>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</si>
  <si>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</si>
  <si>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</si>
  <si>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</si>
  <si>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</si>
  <si>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</si>
  <si>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</si>
  <si>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</si>
  <si>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</si>
  <si>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</si>
  <si>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</si>
  <si>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</si>
  <si>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</si>
  <si>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</si>
  <si>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</si>
  <si>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</si>
  <si>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</si>
  <si>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</si>
  <si>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</si>
  <si>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</si>
  <si>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</si>
  <si>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</si>
  <si>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</si>
  <si>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</si>
  <si>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</si>
  <si>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</si>
  <si>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</si>
  <si>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</si>
  <si>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</si>
  <si>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</si>
  <si>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</si>
  <si>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</si>
  <si>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</si>
  <si>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</si>
  <si>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</si>
  <si>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</si>
  <si>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</si>
  <si>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</si>
  <si>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</si>
  <si>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</si>
  <si>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</si>
  <si>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</si>
  <si>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</si>
  <si>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</si>
  <si>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</si>
  <si>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</si>
  <si>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</si>
  <si>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</si>
  <si>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</si>
  <si>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</si>
  <si>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</si>
  <si>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</si>
  <si>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</si>
  <si>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</si>
  <si>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</si>
  <si>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</si>
  <si>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</si>
  <si>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</si>
  <si>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</si>
  <si>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</si>
  <si>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</si>
  <si>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</si>
  <si>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</si>
  <si>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</si>
  <si>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</si>
  <si>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</si>
  <si>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</si>
  <si>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</si>
  <si>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</si>
  <si>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</si>
  <si>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</si>
  <si>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</si>
  <si>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</si>
  <si>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</si>
  <si>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</si>
  <si>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</si>
  <si>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</si>
  <si>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</si>
  <si>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</si>
  <si>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</si>
  <si>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</si>
  <si>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</si>
  <si>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</si>
  <si>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</si>
  <si>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</si>
  <si>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</si>
  <si>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</si>
  <si>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</si>
  <si>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</si>
  <si>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</si>
  <si>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</si>
  <si>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</si>
  <si>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</si>
  <si>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</si>
  <si>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</si>
  <si>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</si>
  <si>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</si>
  <si>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</si>
  <si>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</si>
  <si>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</si>
  <si>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</si>
  <si>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</si>
  <si>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</si>
  <si>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</si>
  <si>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</si>
  <si>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</si>
  <si>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</si>
  <si>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</si>
  <si>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</si>
  <si>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</si>
  <si>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</si>
  <si>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</si>
  <si>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</si>
  <si>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</si>
  <si>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</si>
  <si>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</si>
  <si>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</si>
  <si>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</si>
  <si>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</si>
  <si>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</si>
  <si>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</si>
  <si>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</si>
  <si>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</si>
  <si>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</si>
  <si>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</si>
  <si>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</si>
  <si>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</si>
  <si>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</si>
  <si>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</si>
  <si>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</si>
  <si>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</si>
  <si>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</si>
  <si>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</si>
  <si>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</si>
  <si>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</si>
  <si>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</si>
  <si>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</si>
  <si>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</si>
  <si>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</si>
  <si>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</si>
  <si>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</si>
  <si>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</si>
  <si>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</si>
  <si>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</si>
  <si>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</si>
  <si>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</si>
  <si>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</si>
  <si>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</si>
  <si>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</si>
  <si>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</si>
  <si>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</si>
  <si>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</si>
  <si>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</si>
  <si>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</si>
  <si>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</si>
  <si>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</si>
  <si>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</si>
  <si>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</si>
  <si>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</si>
  <si>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</si>
  <si>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</si>
  <si>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</si>
  <si>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</si>
  <si>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</si>
  <si>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</si>
  <si>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</si>
  <si>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</si>
  <si>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</si>
  <si>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</si>
  <si>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</si>
  <si>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</si>
  <si>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</si>
  <si>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</si>
  <si>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</si>
  <si>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</si>
  <si>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</si>
  <si>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</si>
  <si>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</si>
  <si>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</si>
  <si>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</si>
  <si>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</si>
  <si>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</si>
  <si>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</si>
  <si>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</si>
  <si>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</si>
  <si>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</si>
  <si>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</si>
  <si>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</si>
  <si>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</si>
  <si>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</si>
  <si>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</si>
  <si>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</si>
  <si>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</si>
  <si>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</si>
  <si>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</si>
  <si>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</si>
  <si>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</si>
  <si>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</si>
  <si>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</si>
  <si>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</si>
  <si>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</si>
  <si>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</si>
  <si>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</si>
  <si>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</si>
  <si>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</si>
  <si>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</si>
  <si>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</si>
  <si>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</si>
  <si>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</si>
  <si>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</si>
  <si>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</si>
  <si>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</si>
  <si>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</si>
  <si>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</si>
  <si>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</si>
  <si>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</si>
  <si>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</si>
  <si>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</si>
  <si>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</si>
  <si>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</si>
  <si>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</si>
  <si>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</si>
  <si>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</si>
  <si>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</si>
  <si>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</si>
  <si>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</si>
  <si>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</si>
  <si>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</si>
  <si>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</si>
  <si>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</si>
  <si>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</si>
  <si>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</si>
  <si>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</si>
  <si>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</si>
  <si>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</si>
  <si>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</si>
  <si>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</si>
  <si>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</si>
  <si>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</si>
  <si>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</si>
  <si>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</si>
  <si>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</si>
  <si>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</si>
  <si>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</si>
  <si>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</si>
  <si>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</si>
  <si>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</si>
  <si>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</si>
  <si>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</si>
  <si>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</si>
  <si>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</si>
  <si>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</si>
  <si>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</si>
  <si>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</si>
  <si>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</si>
  <si>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</si>
  <si>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</si>
  <si>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</si>
  <si>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</si>
  <si>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</si>
  <si>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</si>
  <si>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</si>
  <si>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</si>
  <si>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</si>
  <si>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</si>
  <si>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</si>
  <si>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</si>
  <si>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</si>
  <si>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</si>
  <si>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</si>
  <si>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</si>
  <si>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</si>
  <si>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</si>
  <si>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</si>
  <si>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</si>
  <si>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</si>
  <si>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</si>
  <si>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</si>
  <si>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</si>
  <si>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</si>
  <si>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</si>
  <si>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</si>
  <si>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</si>
  <si>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</si>
  <si>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</si>
  <si>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</si>
  <si>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</si>
  <si>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</si>
  <si>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</si>
  <si>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</si>
  <si>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</si>
  <si>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</si>
  <si>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</si>
  <si>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</si>
  <si>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</si>
  <si>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</si>
  <si>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</si>
  <si>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</si>
  <si>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</si>
  <si>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</si>
  <si>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</si>
  <si>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</si>
  <si>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</si>
  <si>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</si>
  <si>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</si>
  <si>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</si>
  <si>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</si>
  <si>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</si>
  <si>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</si>
  <si>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</si>
  <si>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</si>
  <si>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</si>
  <si>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</si>
  <si>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</si>
  <si>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</si>
  <si>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</si>
  <si>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</si>
  <si>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</si>
  <si>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</si>
  <si>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</si>
  <si>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</si>
  <si>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</si>
  <si>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</si>
  <si>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</si>
  <si>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</si>
  <si>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</si>
  <si>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</si>
  <si>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</si>
  <si>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</si>
  <si>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</si>
  <si>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</si>
  <si>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</si>
  <si>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</si>
  <si>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</si>
  <si>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</si>
  <si>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</si>
  <si>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</si>
  <si>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</si>
  <si>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</si>
  <si>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</si>
  <si>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</si>
  <si>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</si>
  <si>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</si>
  <si>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</si>
  <si>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</si>
  <si>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</si>
  <si>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</si>
  <si>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</si>
  <si>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</si>
  <si>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</si>
  <si>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</si>
  <si>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</si>
  <si>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</si>
  <si>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</si>
  <si>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</si>
  <si>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</si>
  <si>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</si>
  <si>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</si>
  <si>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</si>
  <si>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</si>
  <si>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</si>
  <si>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</si>
  <si>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</si>
  <si>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</si>
  <si>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</si>
  <si>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</si>
  <si>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</si>
  <si>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</si>
  <si>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</si>
  <si>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</si>
  <si>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</si>
  <si>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</si>
  <si>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</si>
  <si>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</si>
  <si>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</si>
  <si>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</si>
  <si>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</si>
  <si>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</si>
  <si>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</si>
  <si>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</si>
  <si>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</si>
  <si>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</si>
  <si>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</si>
  <si>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</si>
  <si>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</si>
  <si>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</si>
  <si>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</si>
  <si>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</si>
  <si>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</si>
  <si>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</si>
  <si>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</si>
  <si>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</si>
  <si>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</si>
  <si>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</si>
  <si>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</si>
  <si>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</si>
  <si>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</si>
  <si>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</si>
  <si>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</si>
  <si>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</si>
  <si>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</si>
  <si>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</si>
  <si>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</si>
  <si>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</si>
  <si>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</si>
  <si>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</si>
  <si>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</si>
  <si>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</si>
  <si>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</si>
  <si>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</si>
  <si>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</si>
  <si>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</si>
  <si>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</si>
  <si>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</si>
  <si>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</si>
  <si>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</si>
  <si>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</si>
  <si>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</si>
  <si>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</si>
  <si>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</si>
  <si>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</si>
  <si>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</si>
  <si>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</si>
  <si>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</si>
  <si>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</si>
  <si>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</si>
  <si>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</si>
  <si>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</si>
  <si>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</si>
  <si>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</si>
  <si>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</si>
  <si>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</si>
  <si>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</si>
  <si>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</si>
  <si>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</si>
  <si>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</si>
  <si>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</si>
  <si>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</si>
  <si>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</si>
  <si>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</si>
  <si>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</si>
  <si>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</si>
  <si>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</si>
  <si>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</si>
  <si>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</si>
  <si>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</si>
  <si>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</si>
  <si>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</si>
  <si>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</si>
  <si>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</si>
  <si>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</si>
  <si>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</si>
  <si>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</si>
  <si>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</si>
  <si>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</si>
  <si>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</si>
  <si>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</si>
  <si>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</si>
  <si>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</si>
  <si>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</si>
  <si>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</si>
  <si>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</si>
  <si>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</si>
  <si>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</si>
  <si>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</si>
  <si>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</si>
  <si>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</si>
  <si>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</si>
  <si>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</si>
  <si>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</si>
  <si>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</si>
  <si>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</si>
  <si>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</si>
  <si>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</si>
  <si>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</si>
  <si>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</si>
  <si>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</si>
  <si>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</si>
  <si>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</si>
  <si>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</si>
  <si>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</si>
  <si>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</si>
  <si>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</si>
  <si>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</si>
  <si>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</si>
  <si>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</si>
  <si>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</si>
  <si>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</si>
  <si>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</si>
  <si>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</si>
  <si>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</si>
  <si>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</si>
  <si>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</si>
  <si>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</si>
  <si>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</si>
  <si>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</si>
  <si>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</si>
  <si>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</si>
  <si>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</si>
  <si>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</si>
  <si>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</si>
  <si>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</si>
  <si>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</si>
  <si>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</si>
  <si>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</si>
  <si>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</si>
  <si>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</si>
  <si>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</si>
  <si>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</si>
  <si>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</si>
  <si>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</si>
  <si>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</si>
  <si>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</si>
  <si>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</si>
  <si>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</si>
  <si>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</si>
  <si>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</si>
  <si>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</si>
  <si>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</si>
  <si>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</si>
  <si>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</si>
  <si>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</si>
  <si>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</si>
  <si>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</si>
  <si>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</si>
  <si>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</si>
  <si>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</si>
  <si>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</si>
  <si>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</si>
  <si>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</si>
  <si>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</si>
  <si>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</si>
  <si>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</si>
  <si>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</si>
  <si>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</si>
  <si>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</si>
  <si>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</si>
  <si>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</si>
  <si>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</si>
  <si>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</si>
  <si>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</si>
  <si>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</si>
  <si>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</si>
  <si>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</si>
  <si>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</si>
  <si>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</si>
  <si>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</si>
  <si>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</si>
  <si>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</si>
  <si>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</si>
  <si>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</si>
  <si>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</si>
  <si>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</si>
  <si>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</si>
  <si>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</si>
  <si>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</si>
  <si>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</si>
  <si>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</si>
  <si>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</si>
  <si>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</si>
  <si>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</si>
  <si>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</si>
  <si>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</si>
  <si>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</si>
  <si>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</si>
  <si>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</si>
  <si>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</si>
  <si>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</si>
  <si>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</si>
  <si>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</si>
  <si>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</si>
  <si>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</si>
  <si>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</si>
  <si>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</si>
  <si>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</si>
  <si>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</si>
  <si>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</si>
  <si>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</si>
  <si>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</si>
  <si>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</si>
  <si>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</si>
  <si>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</si>
  <si>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</si>
  <si>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</si>
  <si>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</si>
  <si>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</si>
  <si>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</si>
  <si>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</si>
  <si>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</si>
  <si>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</si>
  <si>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</si>
  <si>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</si>
  <si>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</si>
  <si>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</si>
  <si>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</si>
  <si>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</si>
  <si>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</si>
  <si>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</si>
  <si>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</si>
  <si>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</si>
  <si>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</si>
  <si>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</si>
  <si>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</si>
  <si>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</si>
  <si>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</si>
  <si>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</si>
  <si>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</si>
  <si>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</si>
  <si>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</si>
  <si>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</si>
  <si>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</si>
  <si>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</si>
  <si>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</si>
  <si>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</si>
  <si>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</si>
  <si>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</si>
  <si>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</si>
  <si>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</si>
  <si>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</si>
  <si>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</si>
  <si>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</si>
  <si>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</si>
  <si>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</si>
  <si>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</si>
  <si>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</si>
  <si>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</si>
  <si>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</si>
  <si>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</si>
  <si>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</si>
  <si>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</si>
  <si>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</si>
  <si>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</si>
  <si>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</si>
  <si>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</si>
  <si>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</si>
  <si>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</si>
  <si>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</si>
  <si>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</si>
  <si>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</si>
  <si>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</si>
  <si>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</si>
  <si>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</si>
  <si>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</si>
  <si>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</si>
  <si>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</si>
  <si>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</si>
  <si>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</si>
  <si>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</si>
  <si>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</si>
  <si>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</si>
  <si>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</si>
  <si>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</si>
  <si>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</si>
  <si>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</si>
  <si>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</si>
  <si>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</si>
  <si>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</si>
  <si>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</si>
  <si>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</si>
  <si>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</si>
  <si>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</si>
  <si>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</si>
  <si>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</si>
  <si>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</si>
  <si>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</si>
  <si>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</si>
  <si>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</si>
  <si>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</si>
  <si>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</si>
  <si>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</si>
  <si>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</si>
  <si>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</si>
  <si>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</si>
  <si>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</si>
  <si>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</si>
  <si>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</si>
  <si>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</si>
  <si>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</si>
  <si>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</si>
  <si>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</si>
  <si>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</si>
  <si>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</si>
  <si>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</si>
  <si>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</si>
  <si>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</si>
  <si>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</si>
  <si>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</si>
  <si>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</si>
  <si>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</si>
  <si>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</si>
  <si>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</si>
  <si>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</si>
  <si>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</si>
  <si>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</si>
  <si>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</si>
  <si>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</si>
  <si>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</si>
  <si>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</si>
  <si>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</si>
  <si>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</si>
  <si>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</si>
  <si>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</si>
  <si>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</si>
  <si>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</si>
  <si>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</si>
  <si>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</si>
  <si>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</si>
  <si>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</si>
  <si>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</si>
  <si>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</si>
  <si>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</si>
  <si>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</si>
  <si>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</si>
  <si>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</si>
  <si>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</si>
  <si>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</si>
  <si>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</si>
  <si>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</si>
  <si>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</si>
  <si>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</si>
  <si>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</si>
  <si>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</si>
  <si>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</si>
  <si>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</si>
  <si>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</si>
  <si>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</si>
  <si>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</si>
  <si>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</si>
  <si>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</si>
  <si>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</si>
  <si>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</si>
  <si>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</si>
  <si>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</si>
  <si>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</si>
  <si>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</si>
  <si>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</si>
  <si>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</si>
  <si>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</si>
  <si>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</si>
  <si>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</si>
  <si>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</si>
  <si>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</si>
  <si>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</si>
  <si>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</si>
  <si>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</si>
  <si>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</si>
  <si>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</si>
  <si>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</si>
  <si>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</si>
  <si>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</si>
  <si>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</si>
  <si>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</si>
  <si>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</si>
  <si>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</si>
  <si>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</si>
  <si>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</si>
  <si>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</si>
  <si>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</si>
  <si>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</si>
  <si>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</si>
  <si>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</si>
  <si>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</si>
  <si>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</si>
  <si>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</si>
  <si>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</si>
  <si>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</si>
  <si>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</si>
  <si>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</si>
  <si>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</si>
  <si>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</si>
  <si>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</si>
  <si>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</si>
  <si>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</si>
  <si>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</si>
  <si>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</si>
  <si>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</si>
  <si>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</si>
  <si>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</si>
  <si>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</si>
  <si>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</si>
  <si>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</si>
  <si>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</si>
  <si>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</si>
  <si>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</si>
  <si>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</si>
  <si>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</si>
  <si>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</si>
  <si>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</si>
  <si>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</si>
  <si>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</si>
  <si>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</si>
  <si>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</si>
  <si>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</si>
  <si>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</si>
  <si>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</si>
  <si>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</si>
  <si>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</si>
  <si>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</si>
  <si>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</si>
  <si>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</si>
  <si>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</si>
  <si>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</si>
  <si>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</si>
  <si>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</si>
  <si>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</si>
  <si>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</si>
  <si>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</si>
  <si>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</si>
  <si>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</si>
  <si>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</si>
  <si>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</si>
  <si>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</si>
  <si>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</si>
  <si>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</si>
  <si>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</si>
  <si>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</si>
  <si>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</si>
  <si>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</si>
  <si>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</si>
  <si>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</si>
  <si>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</si>
  <si>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</si>
  <si>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</si>
  <si>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</si>
  <si>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</si>
  <si>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</si>
  <si>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</si>
  <si>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</si>
  <si>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</si>
  <si>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</si>
  <si>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</si>
  <si>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</si>
  <si>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</si>
  <si>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</si>
  <si>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</si>
  <si>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</si>
  <si>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</si>
  <si>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</si>
  <si>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</si>
  <si>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</si>
  <si>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</si>
  <si>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</si>
  <si>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</si>
  <si>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</si>
  <si>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</si>
  <si>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</si>
  <si>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</si>
  <si>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</si>
  <si>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</si>
  <si>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</si>
  <si>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</si>
  <si>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</si>
  <si>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</si>
  <si>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</si>
  <si>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</si>
  <si>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</si>
  <si>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</si>
  <si>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</si>
  <si>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</si>
  <si>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</si>
  <si>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</si>
  <si>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</si>
  <si>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</si>
  <si>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</si>
  <si>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</si>
  <si>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</si>
  <si>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</si>
  <si>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</si>
  <si>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</si>
  <si>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</si>
  <si>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</si>
  <si>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</si>
  <si>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</si>
  <si>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</si>
  <si>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</si>
  <si>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</si>
  <si>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</si>
  <si>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</si>
  <si>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</si>
  <si>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</si>
  <si>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</si>
  <si>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</si>
  <si>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</si>
  <si>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</si>
  <si>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</si>
  <si>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</si>
  <si>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</si>
  <si>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</si>
  <si>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</si>
  <si>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</si>
  <si>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</si>
  <si>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</si>
  <si>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</si>
  <si>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</si>
  <si>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</si>
  <si>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</si>
  <si>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</si>
  <si>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</si>
  <si>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</si>
  <si>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</si>
  <si>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</si>
  <si>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</si>
  <si>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</si>
  <si>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</si>
  <si>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</si>
  <si>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</si>
  <si>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</si>
  <si>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</si>
  <si>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</si>
  <si>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</si>
  <si>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</si>
  <si>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</si>
  <si>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</si>
  <si>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</si>
  <si>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</si>
  <si>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</si>
  <si>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</si>
  <si>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</si>
  <si>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</si>
  <si>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</si>
  <si>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</si>
  <si>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</si>
  <si>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</si>
  <si>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</si>
  <si>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</si>
  <si>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</si>
  <si>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</si>
  <si>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</si>
  <si>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</si>
  <si>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</si>
  <si>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</si>
  <si>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</si>
  <si>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</si>
  <si>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</si>
  <si>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</si>
  <si>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</si>
  <si>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</si>
  <si>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</si>
  <si>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</si>
  <si>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</si>
  <si>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</si>
  <si>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</si>
  <si>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</si>
  <si>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</si>
  <si>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</si>
  <si>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</si>
  <si>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</si>
  <si>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</si>
  <si>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</si>
  <si>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</si>
  <si>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</si>
  <si>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</si>
  <si>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</si>
  <si>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</si>
  <si>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</si>
  <si>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</si>
  <si>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</si>
  <si>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</si>
  <si>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</si>
  <si>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</si>
  <si>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</si>
  <si>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</si>
  <si>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</si>
  <si>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</si>
  <si>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</si>
  <si>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</si>
  <si>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</si>
  <si>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</si>
  <si>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</si>
  <si>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</si>
  <si>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</si>
  <si>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</si>
  <si>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</si>
  <si>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</si>
  <si>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</si>
  <si>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</si>
  <si>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</si>
  <si>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</si>
  <si>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</si>
  <si>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</si>
  <si>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</si>
  <si>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</si>
  <si>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</si>
  <si>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</si>
  <si>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</si>
  <si>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</si>
  <si>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</si>
  <si>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</si>
  <si>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</si>
  <si>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</si>
  <si>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</si>
  <si>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</si>
  <si>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</si>
  <si>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</si>
  <si>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</si>
  <si>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</si>
  <si>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</si>
  <si>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</si>
  <si>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</si>
  <si>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</si>
  <si>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</si>
  <si>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</si>
  <si>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</si>
  <si>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</si>
  <si>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</si>
  <si>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</si>
  <si>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</si>
  <si>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</si>
  <si>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</si>
  <si>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</si>
  <si>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</si>
  <si>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</si>
  <si>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</si>
  <si>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</si>
  <si>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</si>
  <si>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</si>
  <si>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</si>
  <si>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</si>
  <si>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</si>
  <si>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</si>
  <si>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</si>
  <si>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</si>
  <si>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</si>
  <si>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</si>
  <si>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</si>
  <si>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</si>
  <si>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</si>
  <si>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</si>
  <si>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</si>
  <si>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</si>
  <si>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</si>
  <si>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</si>
  <si>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</si>
  <si>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</si>
  <si>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</si>
  <si>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</si>
  <si>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</si>
  <si>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</si>
  <si>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</si>
  <si>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</si>
  <si>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</si>
  <si>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</si>
  <si>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</si>
  <si>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</si>
  <si>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</si>
  <si>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</si>
  <si>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</si>
  <si>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</si>
  <si>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</si>
  <si>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</si>
  <si>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</si>
  <si>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</si>
  <si>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</si>
  <si>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</si>
  <si>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</si>
  <si>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</si>
  <si>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</si>
  <si>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</si>
  <si>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</si>
  <si>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</si>
  <si>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</si>
  <si>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</si>
  <si>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</si>
  <si>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</si>
  <si>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</si>
  <si>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</si>
  <si>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</si>
  <si>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</si>
  <si>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</si>
  <si>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</si>
  <si>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</si>
  <si>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</si>
  <si>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</si>
  <si>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</si>
  <si>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</si>
  <si>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</si>
  <si>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</si>
  <si>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</si>
  <si>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</si>
  <si>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</si>
  <si>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</si>
  <si>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</si>
  <si>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</si>
  <si>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</si>
  <si>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</si>
  <si>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</si>
  <si>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</si>
  <si>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</si>
  <si>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</si>
  <si>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</si>
  <si>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</si>
  <si>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</si>
  <si>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</si>
  <si>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</si>
  <si>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</si>
  <si>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</si>
  <si>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</si>
  <si>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</si>
  <si>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</si>
  <si>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</si>
  <si>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</si>
  <si>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</si>
  <si>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</si>
  <si>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</si>
  <si>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</si>
  <si>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</si>
  <si>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</si>
  <si>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</si>
  <si>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</si>
  <si>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</si>
  <si>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</si>
  <si>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</si>
  <si>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</si>
  <si>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</si>
  <si>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</si>
  <si>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</si>
  <si>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</si>
  <si>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</si>
  <si>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</si>
  <si>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</si>
  <si>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</si>
  <si>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</si>
  <si>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</si>
  <si>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</si>
  <si>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</si>
  <si>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</si>
  <si>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</si>
  <si>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</si>
  <si>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</si>
  <si>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</si>
  <si>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</si>
  <si>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</si>
  <si>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</si>
  <si>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</si>
  <si>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</si>
  <si>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</si>
  <si>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</si>
  <si>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</si>
  <si>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</si>
  <si>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</si>
  <si>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</si>
  <si>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</si>
  <si>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</si>
  <si>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</si>
  <si>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</si>
  <si>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</si>
  <si>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</si>
  <si>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</si>
  <si>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</si>
  <si>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</si>
  <si>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</si>
  <si>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</si>
  <si>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</si>
  <si>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</si>
  <si>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</si>
  <si>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</si>
  <si>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</si>
  <si>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</si>
  <si>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</si>
  <si>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</si>
  <si>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</si>
  <si>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</si>
  <si>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</si>
  <si>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</si>
  <si>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</si>
  <si>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</si>
  <si>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</si>
  <si>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</si>
  <si>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</si>
  <si>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</si>
  <si>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</si>
  <si>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</si>
  <si>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</si>
  <si>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</si>
  <si>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</si>
  <si>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</si>
  <si>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</si>
  <si>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</si>
  <si>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</si>
  <si>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</si>
  <si>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</si>
  <si>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</si>
  <si>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</si>
  <si>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</si>
  <si>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</si>
  <si>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</si>
  <si>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</si>
  <si>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</si>
  <si>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</si>
  <si>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</si>
  <si>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</si>
  <si>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</si>
  <si>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</si>
  <si>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</si>
  <si>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</si>
  <si>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</si>
  <si>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</si>
  <si>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</si>
  <si>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</si>
  <si>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</si>
  <si>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</si>
  <si>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</si>
  <si>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</si>
  <si>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</si>
  <si>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</si>
  <si>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</si>
  <si>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</si>
  <si>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</si>
  <si>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</si>
  <si>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</si>
  <si>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</si>
  <si>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</si>
  <si>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</si>
  <si>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</si>
  <si>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</si>
  <si>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</si>
  <si>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</si>
  <si>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</si>
  <si>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</si>
  <si>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</si>
  <si>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</si>
  <si>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</si>
  <si>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</si>
  <si>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</si>
  <si>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</si>
  <si>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</si>
  <si>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</si>
  <si>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</si>
  <si>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</si>
  <si>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</si>
  <si>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</si>
  <si>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</si>
  <si>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</si>
  <si>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</si>
  <si>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</si>
  <si>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</si>
  <si>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</si>
  <si>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</si>
  <si>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</si>
  <si>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</si>
  <si>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</si>
  <si>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</si>
  <si>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</si>
  <si>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</si>
  <si>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</si>
  <si>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</si>
  <si>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</si>
  <si>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</si>
  <si>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</si>
  <si>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</si>
  <si>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</si>
  <si>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</si>
  <si>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</si>
  <si>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</si>
  <si>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</si>
  <si>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</si>
  <si>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</si>
  <si>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</si>
  <si>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</si>
  <si>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</si>
  <si>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</si>
  <si>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</si>
  <si>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</si>
  <si>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</si>
  <si>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</si>
  <si>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</si>
  <si>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</si>
  <si>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</si>
  <si>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</si>
  <si>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</si>
  <si>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</si>
  <si>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</si>
  <si>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</si>
  <si>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</si>
  <si>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</si>
  <si>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</si>
  <si>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</si>
  <si>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</si>
  <si>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</si>
  <si>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</si>
  <si>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</si>
  <si>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</si>
  <si>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</si>
  <si>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</si>
  <si>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</si>
  <si>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</si>
  <si>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</si>
  <si>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</si>
  <si>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</si>
  <si>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</si>
  <si>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</si>
  <si>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</si>
  <si>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</si>
  <si>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</si>
  <si>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</si>
  <si>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</si>
  <si>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</si>
  <si>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</si>
  <si>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</si>
  <si>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</si>
  <si>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</si>
  <si>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</si>
  <si>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</si>
  <si>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</si>
  <si>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</si>
  <si>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</si>
  <si>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</si>
  <si>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</si>
  <si>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</si>
  <si>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</si>
  <si>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</si>
  <si>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</si>
  <si>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</si>
  <si>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</si>
  <si>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</si>
  <si>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</si>
  <si>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</si>
  <si>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</si>
  <si>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</si>
  <si>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</si>
  <si>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</si>
  <si>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</si>
  <si>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</si>
  <si>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</si>
  <si>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</si>
  <si>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</si>
  <si>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</si>
  <si>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</si>
  <si>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</si>
  <si>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</si>
  <si>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</si>
  <si>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</si>
  <si>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</si>
  <si>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</si>
  <si>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</si>
  <si>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</si>
  <si>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</si>
  <si>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</si>
  <si>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</si>
  <si>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</si>
  <si>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</si>
  <si>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</si>
  <si>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</si>
  <si>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</si>
  <si>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</si>
  <si>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</si>
  <si>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</si>
  <si>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</si>
  <si>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</si>
  <si>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</si>
  <si>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</si>
  <si>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</si>
  <si>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</si>
  <si>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</si>
  <si>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</si>
  <si>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</si>
  <si>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</si>
  <si>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</si>
  <si>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</si>
  <si>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</si>
  <si>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</si>
  <si>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</si>
  <si>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</si>
  <si>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</si>
  <si>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</si>
  <si>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</si>
  <si>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</si>
  <si>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</si>
  <si>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</si>
  <si>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</si>
  <si>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</si>
  <si>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</si>
  <si>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</si>
  <si>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</si>
  <si>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</si>
  <si>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</si>
  <si>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</si>
  <si>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</si>
  <si>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</si>
  <si>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</si>
  <si>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</si>
  <si>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</si>
  <si>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</si>
  <si>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</si>
  <si>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</si>
  <si>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</si>
  <si>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</si>
  <si>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</si>
  <si>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</si>
  <si>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</si>
  <si>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</si>
  <si>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</si>
  <si>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</si>
  <si>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</si>
  <si>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</si>
  <si>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</si>
  <si>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</si>
  <si>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</si>
  <si>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</si>
  <si>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</si>
  <si>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</si>
  <si>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</si>
  <si>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</si>
  <si>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</si>
  <si>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</si>
  <si>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</si>
  <si>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</si>
  <si>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</si>
  <si>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</si>
  <si>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</si>
  <si>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</si>
  <si>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</si>
  <si>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</si>
  <si>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</si>
  <si>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</si>
  <si>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</si>
  <si>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</si>
  <si>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</si>
  <si>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</si>
  <si>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</si>
  <si>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</si>
  <si>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</si>
  <si>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</si>
  <si>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</si>
  <si>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</si>
  <si>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</si>
  <si>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</si>
  <si>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</si>
  <si>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</si>
  <si>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</si>
  <si>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</si>
  <si>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</si>
  <si>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</si>
  <si>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</si>
  <si>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</si>
  <si>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</si>
  <si>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</si>
  <si>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</si>
  <si>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</si>
  <si>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</si>
  <si>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</si>
  <si>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</si>
  <si>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</si>
  <si>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</si>
  <si>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</si>
  <si>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</si>
  <si>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</si>
  <si>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</si>
  <si>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</si>
  <si>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</si>
  <si>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</si>
  <si>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</si>
  <si>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</si>
  <si>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</si>
  <si>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</si>
  <si>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</si>
  <si>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</si>
  <si>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</si>
  <si>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</si>
  <si>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</si>
  <si>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</si>
  <si>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</si>
  <si>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</si>
  <si>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</si>
  <si>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</si>
  <si>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</si>
  <si>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</si>
  <si>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</si>
  <si>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</si>
  <si>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</si>
  <si>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</si>
  <si>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</si>
  <si>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</si>
  <si>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</si>
  <si>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</si>
  <si>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</si>
  <si>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</si>
  <si>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</si>
  <si>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</si>
  <si>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</si>
  <si>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</si>
  <si>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</si>
  <si>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</si>
  <si>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</si>
  <si>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</si>
  <si>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</si>
  <si>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</si>
  <si>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</si>
  <si>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</si>
  <si>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</si>
  <si>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</si>
  <si>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</si>
  <si>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</si>
  <si>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</si>
  <si>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</si>
  <si>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</si>
  <si>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</si>
  <si>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</si>
  <si>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</si>
  <si>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</si>
  <si>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</si>
  <si>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</si>
  <si>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</si>
  <si>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</si>
  <si>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</si>
  <si>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</si>
  <si>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</si>
  <si>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</si>
  <si>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</si>
  <si>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</si>
  <si>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</si>
  <si>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</si>
  <si>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</si>
  <si>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</si>
  <si>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</si>
  <si>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</si>
  <si>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</si>
  <si>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</si>
  <si>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</si>
  <si>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</si>
  <si>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</si>
  <si>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</si>
  <si>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</si>
  <si>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</si>
  <si>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</si>
  <si>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</si>
  <si>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</si>
  <si>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</si>
  <si>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</si>
  <si>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</si>
  <si>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</si>
  <si>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</si>
  <si>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</si>
  <si>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</si>
  <si>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</si>
  <si>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</si>
  <si>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</si>
  <si>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</si>
  <si>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</si>
  <si>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</si>
  <si>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</si>
  <si>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</si>
  <si>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</si>
  <si>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</si>
  <si>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</si>
  <si>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</si>
  <si>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</si>
  <si>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</si>
  <si>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</si>
  <si>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</si>
  <si>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</si>
  <si>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</si>
  <si>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</si>
  <si>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</si>
  <si>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</si>
  <si>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</si>
  <si>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</si>
  <si>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</si>
  <si>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</si>
  <si>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</si>
  <si>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</si>
  <si>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</si>
  <si>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</si>
  <si>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</si>
  <si>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</si>
  <si>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</si>
  <si>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</si>
  <si>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</si>
  <si>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</si>
  <si>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</si>
  <si>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</si>
  <si>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</si>
  <si>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</si>
  <si>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</si>
  <si>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</si>
  <si>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</si>
  <si>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</si>
  <si>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</si>
  <si>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</si>
  <si>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</si>
  <si>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</si>
  <si>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</si>
  <si>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</si>
  <si>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</si>
  <si>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</si>
  <si>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</si>
  <si>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</si>
  <si>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</si>
  <si>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</si>
  <si>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</si>
  <si>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</si>
  <si>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</si>
  <si>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</si>
  <si>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</si>
  <si>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</si>
  <si>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</si>
  <si>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</si>
  <si>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</si>
  <si>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</si>
  <si>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</si>
  <si>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</si>
  <si>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</si>
  <si>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</si>
  <si>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</si>
  <si>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</si>
  <si>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</si>
  <si>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</si>
  <si>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</si>
  <si>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</si>
  <si>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</si>
  <si>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</si>
  <si>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</si>
  <si>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</si>
  <si>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</si>
  <si>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</si>
  <si>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</si>
  <si>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</si>
  <si>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</si>
  <si>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</si>
  <si>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</si>
  <si>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</si>
  <si>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</si>
  <si>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</si>
  <si>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</si>
  <si>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</si>
  <si>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</si>
  <si>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</si>
  <si>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</si>
  <si>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</si>
  <si>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</si>
  <si>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</si>
  <si>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</si>
  <si>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</si>
  <si>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</si>
  <si>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</si>
  <si>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</si>
  <si>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</si>
  <si>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</si>
  <si>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</si>
  <si>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</si>
  <si>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</si>
  <si>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</si>
  <si>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</si>
  <si>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</si>
  <si>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</si>
  <si>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</si>
  <si>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</si>
  <si>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</si>
  <si>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</si>
  <si>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</si>
  <si>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</si>
  <si>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</si>
  <si>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</si>
  <si>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</si>
  <si>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</si>
  <si>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</si>
  <si>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</si>
  <si>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</si>
  <si>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</si>
  <si>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</si>
  <si>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</si>
  <si>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</si>
  <si>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</si>
  <si>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</si>
  <si>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</si>
  <si>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</si>
  <si>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</si>
  <si>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</si>
  <si>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</si>
  <si>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</si>
  <si>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</si>
  <si>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</si>
  <si>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</si>
  <si>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</si>
  <si>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</si>
  <si>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</si>
  <si>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</si>
  <si>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</si>
  <si>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</si>
  <si>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</si>
  <si>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</si>
  <si>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</si>
  <si>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</si>
  <si>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</si>
  <si>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</si>
  <si>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</si>
  <si>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</si>
  <si>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</si>
  <si>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</si>
  <si>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</si>
  <si>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</si>
  <si>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</si>
  <si>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</si>
  <si>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</si>
  <si>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</si>
  <si>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</si>
  <si>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</si>
  <si>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</si>
  <si>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</si>
  <si>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</si>
  <si>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</si>
  <si>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</si>
  <si>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</si>
  <si>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</si>
  <si>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</si>
  <si>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</si>
  <si>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</si>
  <si>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</si>
  <si>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</si>
  <si>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</si>
  <si>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</si>
  <si>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</si>
  <si>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</si>
  <si>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</si>
  <si>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</si>
  <si>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</si>
  <si>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</si>
  <si>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</si>
  <si>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</si>
  <si>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</si>
  <si>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</si>
  <si>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</si>
  <si>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</si>
  <si>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</si>
  <si>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</si>
  <si>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</si>
  <si>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</si>
  <si>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</si>
  <si>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</si>
  <si>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</si>
  <si>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</si>
  <si>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</si>
  <si>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</si>
  <si>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</si>
  <si>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</si>
  <si>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</si>
  <si>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</si>
  <si>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</si>
  <si>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</si>
  <si>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</si>
  <si>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</si>
  <si>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</si>
  <si>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</si>
  <si>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</si>
  <si>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</si>
  <si>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</si>
  <si>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</si>
  <si>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</si>
  <si>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</si>
  <si>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</si>
  <si>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</si>
  <si>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</si>
  <si>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</si>
  <si>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</si>
  <si>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</si>
  <si>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</si>
  <si>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</si>
  <si>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</si>
  <si>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</si>
  <si>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</si>
  <si>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</si>
  <si>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</si>
  <si>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</si>
  <si>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</si>
  <si>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</si>
  <si>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</si>
  <si>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</si>
  <si>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</si>
  <si>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</si>
  <si>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</si>
  <si>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</si>
  <si>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</si>
  <si>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</si>
  <si>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</si>
  <si>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</si>
  <si>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</si>
  <si>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</si>
  <si>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</si>
  <si>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</si>
  <si>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</si>
  <si>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</si>
  <si>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</si>
  <si>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</si>
  <si>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</si>
  <si>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</si>
  <si>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</si>
  <si>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</si>
  <si>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</si>
  <si>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</si>
  <si>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</si>
  <si>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</si>
  <si>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</si>
  <si>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</si>
  <si>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</si>
  <si>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</si>
  <si>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</si>
  <si>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</si>
  <si>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</si>
  <si>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</si>
  <si>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</si>
  <si>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</si>
  <si>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</si>
  <si>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</si>
  <si>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</si>
  <si>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</si>
  <si>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</si>
  <si>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</si>
  <si>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</si>
  <si>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</si>
  <si>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</si>
  <si>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</si>
  <si>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</si>
  <si>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</si>
  <si>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</si>
  <si>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</si>
  <si>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</si>
  <si>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</si>
  <si>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</si>
  <si>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</si>
  <si>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</si>
  <si>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</si>
  <si>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</si>
  <si>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</si>
  <si>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</si>
  <si>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</si>
  <si>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</si>
  <si>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</si>
  <si>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</si>
  <si>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</si>
  <si>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</si>
  <si>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</si>
  <si>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</si>
  <si>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</si>
  <si>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</si>
  <si>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</si>
  <si>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</si>
  <si>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</si>
  <si>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</si>
  <si>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</si>
  <si>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</si>
  <si>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</si>
  <si>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</si>
  <si>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</si>
  <si>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</si>
  <si>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</si>
  <si>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</si>
  <si>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</si>
  <si>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</si>
  <si>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</si>
  <si>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</si>
  <si>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</si>
  <si>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</si>
  <si>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</si>
  <si>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</si>
  <si>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</si>
  <si>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</si>
  <si>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</si>
  <si>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</si>
  <si>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</si>
  <si>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</si>
  <si>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</si>
  <si>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</si>
  <si>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</si>
  <si>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</si>
  <si>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</si>
  <si>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</si>
  <si>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</si>
  <si>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</si>
  <si>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</si>
  <si>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</si>
  <si>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</si>
  <si>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</si>
  <si>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</si>
  <si>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</si>
  <si>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</si>
  <si>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</si>
  <si>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</si>
  <si>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</si>
  <si>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</si>
  <si>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</si>
  <si>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</si>
  <si>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</si>
  <si>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</si>
  <si>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</si>
  <si>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</si>
  <si>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</si>
  <si>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</si>
  <si>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</si>
  <si>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</si>
  <si>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</si>
  <si>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</si>
  <si>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</si>
  <si>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</si>
  <si>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</si>
  <si>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</si>
  <si>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</si>
  <si>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</si>
  <si>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</si>
  <si>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</si>
  <si>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</si>
  <si>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</si>
  <si>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</si>
  <si>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</si>
  <si>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</si>
  <si>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</si>
  <si>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</si>
  <si>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</si>
  <si>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</si>
  <si>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</si>
  <si>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</si>
  <si>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</si>
  <si>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</si>
  <si>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</si>
  <si>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</si>
  <si>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</si>
  <si>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</si>
  <si>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</si>
  <si>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</si>
  <si>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</si>
  <si>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</si>
  <si>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</si>
  <si>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</si>
  <si>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</si>
  <si>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</si>
  <si>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</si>
  <si>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</si>
  <si>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</si>
  <si>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</si>
  <si>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</si>
  <si>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</si>
  <si>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</si>
  <si>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</si>
  <si>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</si>
  <si>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</si>
  <si>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</si>
  <si>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</si>
  <si>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</si>
  <si>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</si>
  <si>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</si>
  <si>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</si>
  <si>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</si>
  <si>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</si>
  <si>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</si>
  <si>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</si>
  <si>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</si>
  <si>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</si>
  <si>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</si>
  <si>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</si>
  <si>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</si>
  <si>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</si>
  <si>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</si>
  <si>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</si>
  <si>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</si>
  <si>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</si>
  <si>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</si>
  <si>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</si>
  <si>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</si>
  <si>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</si>
  <si>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</si>
  <si>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</si>
  <si>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</si>
  <si>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</si>
  <si>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</si>
  <si>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</si>
  <si>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</si>
  <si>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</si>
  <si>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</si>
  <si>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</si>
  <si>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</si>
  <si>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</si>
  <si>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</si>
  <si>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</si>
  <si>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</si>
  <si>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</si>
  <si>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</si>
  <si>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</si>
  <si>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</si>
  <si>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</si>
  <si>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</si>
  <si>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</si>
  <si>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</si>
  <si>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</si>
  <si>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</si>
  <si>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</si>
  <si>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</si>
  <si>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</si>
  <si>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</si>
  <si>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</si>
  <si>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</si>
  <si>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</si>
  <si>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</si>
  <si>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</si>
  <si>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</si>
  <si>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</si>
  <si>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</si>
  <si>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</si>
  <si>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</si>
  <si>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</si>
  <si>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</si>
  <si>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</si>
  <si>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</si>
  <si>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</si>
  <si>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</si>
  <si>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</si>
  <si>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</si>
  <si>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</si>
  <si>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</si>
  <si>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</si>
  <si>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</si>
  <si>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</si>
  <si>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</si>
  <si>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</si>
  <si>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</si>
  <si>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</si>
  <si>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</si>
  <si>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</si>
  <si>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</si>
  <si>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</si>
  <si>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</si>
  <si>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</si>
  <si>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</si>
  <si>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</si>
  <si>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</si>
  <si>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</si>
  <si>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</si>
  <si>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</si>
  <si>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</si>
  <si>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</si>
  <si>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</si>
  <si>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</si>
  <si>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</si>
  <si>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</si>
  <si>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</si>
  <si>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</si>
  <si>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</si>
  <si>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</si>
  <si>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</si>
  <si>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</si>
  <si>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</si>
  <si>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</si>
  <si>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</si>
  <si>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</si>
  <si>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</si>
  <si>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</si>
  <si>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</si>
  <si>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</si>
  <si>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</si>
  <si>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</si>
  <si>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</si>
  <si>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</si>
  <si>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</si>
  <si>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</si>
  <si>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</si>
  <si>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</si>
  <si>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</si>
  <si>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</si>
  <si>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</si>
  <si>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</si>
  <si>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</si>
  <si>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</si>
  <si>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</si>
  <si>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</si>
  <si>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</si>
  <si>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</si>
  <si>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</si>
  <si>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</si>
  <si>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</si>
  <si>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</si>
  <si>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</si>
  <si>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</si>
  <si>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</si>
  <si>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</si>
  <si>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</si>
  <si>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</si>
  <si>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</si>
  <si>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</si>
  <si>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</si>
  <si>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</si>
  <si>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</si>
  <si>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</si>
  <si>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</si>
  <si>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</si>
  <si>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</si>
  <si>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</si>
  <si>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</si>
  <si>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</si>
  <si>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</si>
  <si>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</si>
  <si>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</si>
  <si>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</si>
  <si>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</si>
  <si>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</si>
  <si>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</si>
  <si>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</si>
  <si>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</si>
  <si>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</si>
  <si>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</si>
  <si>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</si>
  <si>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</si>
  <si>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</si>
  <si>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</si>
  <si>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</si>
  <si>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</si>
  <si>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</si>
  <si>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</si>
  <si>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</si>
  <si>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</si>
  <si>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</si>
  <si>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</si>
  <si>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</si>
  <si>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</si>
  <si>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</si>
  <si>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</si>
  <si>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</si>
  <si>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</si>
  <si>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</si>
  <si>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</si>
  <si>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</si>
  <si>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</si>
  <si>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</si>
  <si>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</si>
  <si>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</si>
  <si>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</si>
  <si>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</si>
  <si>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</si>
  <si>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</si>
  <si>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</si>
  <si>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</si>
  <si>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</si>
  <si>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</si>
  <si>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</si>
  <si>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</si>
  <si>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</si>
  <si>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</si>
  <si>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</si>
  <si>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</si>
  <si>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</si>
  <si>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</si>
  <si>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</si>
  <si>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</si>
  <si>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</si>
  <si>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</si>
  <si>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</si>
  <si>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</si>
  <si>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</si>
  <si>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</si>
  <si>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</si>
  <si>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</si>
  <si>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</si>
  <si>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</si>
  <si>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</si>
  <si>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</si>
  <si>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</si>
  <si>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</si>
  <si>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</si>
  <si>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</si>
  <si>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</si>
  <si>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</si>
  <si>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</si>
  <si>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</si>
  <si>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</si>
  <si>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</si>
  <si>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</si>
  <si>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</si>
  <si>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</si>
  <si>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</si>
  <si>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</si>
  <si>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</si>
  <si>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</si>
  <si>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</si>
  <si>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</si>
  <si>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</si>
  <si>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</si>
  <si>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</si>
  <si>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</si>
  <si>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</si>
  <si>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</si>
  <si>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</si>
  <si>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</si>
  <si>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</si>
  <si>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</si>
  <si>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</si>
  <si>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</si>
  <si>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</si>
  <si>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</si>
  <si>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</si>
  <si>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</si>
  <si>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</si>
  <si>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</si>
  <si>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</si>
  <si>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</si>
  <si>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</si>
  <si>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</si>
  <si>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</si>
  <si>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</si>
  <si>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</si>
  <si>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</si>
  <si>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</si>
  <si>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</si>
  <si>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</si>
  <si>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</si>
  <si>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</si>
  <si>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</si>
  <si>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</si>
  <si>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</si>
  <si>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</si>
  <si>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</si>
  <si>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</si>
  <si>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</si>
  <si>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</si>
  <si>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</si>
  <si>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</si>
  <si>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</si>
  <si>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</si>
  <si>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</si>
  <si>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</si>
  <si>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</si>
  <si>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</si>
  <si>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</si>
  <si>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</si>
  <si>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</si>
  <si>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</si>
  <si>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</si>
  <si>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</si>
  <si>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</si>
  <si>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</si>
  <si>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</si>
  <si>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</si>
  <si>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</si>
  <si>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</si>
  <si>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</si>
  <si>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</si>
  <si>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</si>
  <si>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</si>
  <si>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</si>
  <si>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</si>
  <si>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</si>
  <si>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</si>
  <si>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</si>
  <si>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</si>
  <si>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</si>
  <si>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</si>
  <si>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</si>
  <si>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</si>
  <si>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</si>
  <si>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</si>
  <si>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</si>
  <si>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</si>
  <si>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</si>
  <si>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</si>
  <si>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</si>
  <si>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</si>
  <si>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</si>
  <si>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</si>
  <si>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</si>
  <si>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</si>
  <si>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</si>
  <si>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</si>
  <si>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</si>
  <si>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</si>
  <si>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</si>
  <si>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</si>
  <si>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</si>
  <si>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</si>
  <si>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</si>
  <si>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</si>
  <si>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</si>
  <si>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</si>
  <si>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</si>
  <si>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</si>
  <si>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</si>
  <si>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</si>
  <si>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</si>
  <si>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</si>
  <si>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</si>
  <si>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</si>
  <si>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</si>
  <si>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</si>
  <si>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</si>
  <si>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</si>
  <si>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</si>
  <si>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</si>
  <si>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</si>
  <si>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</si>
  <si>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</si>
  <si>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</si>
  <si>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</si>
  <si>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</si>
  <si>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</si>
  <si>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</si>
  <si>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</si>
  <si>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</si>
  <si>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</si>
  <si>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</si>
  <si>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</si>
  <si>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</si>
  <si>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</si>
  <si>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</si>
  <si>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</si>
  <si>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</si>
  <si>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</si>
  <si>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</si>
  <si>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</si>
  <si>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</si>
  <si>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</si>
  <si>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</si>
  <si>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</si>
  <si>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</si>
  <si>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</si>
  <si>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</si>
  <si>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</si>
  <si>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</si>
  <si>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</si>
  <si>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</si>
  <si>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</si>
  <si>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</si>
  <si>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</si>
  <si>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</si>
  <si>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</si>
  <si>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</si>
  <si>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</si>
  <si>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</si>
  <si>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</si>
  <si>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</si>
  <si>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</si>
  <si>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</si>
  <si>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</si>
  <si>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</si>
  <si>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</si>
  <si>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</si>
  <si>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</si>
  <si>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</si>
  <si>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</si>
  <si>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</si>
  <si>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</si>
  <si>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</si>
  <si>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</si>
  <si>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</si>
  <si>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</si>
  <si>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</si>
  <si>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</si>
  <si>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</si>
  <si>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</si>
  <si>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</si>
  <si>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</si>
  <si>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</si>
  <si>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</si>
  <si>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</si>
  <si>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</si>
  <si>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</si>
  <si>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</si>
  <si>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</si>
  <si>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</si>
  <si>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</si>
  <si>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</si>
  <si>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</si>
  <si>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</si>
  <si>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</si>
  <si>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</si>
  <si>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</si>
  <si>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</si>
  <si>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</si>
  <si>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</si>
  <si>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</si>
  <si>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</si>
  <si>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</si>
  <si>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</si>
  <si>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</si>
  <si>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</si>
  <si>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</si>
  <si>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</si>
  <si>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</si>
  <si>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</si>
  <si>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</si>
  <si>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</si>
  <si>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</si>
  <si>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</si>
  <si>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</si>
  <si>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</si>
  <si>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</si>
  <si>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</si>
  <si>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</si>
  <si>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</si>
  <si>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</si>
  <si>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</si>
  <si>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</si>
  <si>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</si>
  <si>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</si>
  <si>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</si>
  <si>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</si>
  <si>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</si>
  <si>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</si>
  <si>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</si>
  <si>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</si>
  <si>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</si>
  <si>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</si>
  <si>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</si>
  <si>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</si>
  <si>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</si>
  <si>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</si>
  <si>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</si>
  <si>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</si>
  <si>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</si>
  <si>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</si>
  <si>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</si>
  <si>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</si>
  <si>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</si>
  <si>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</si>
  <si>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</si>
  <si>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</si>
  <si>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</si>
  <si>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</si>
  <si>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</si>
  <si>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</si>
  <si>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</si>
  <si>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</si>
  <si>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</si>
  <si>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</si>
  <si>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</si>
  <si>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</si>
  <si>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</si>
  <si>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</si>
  <si>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</si>
  <si>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</si>
  <si>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</si>
  <si>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</si>
  <si>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</si>
  <si>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</si>
  <si>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</si>
  <si>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</si>
  <si>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</si>
  <si>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</si>
  <si>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</si>
  <si>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</si>
  <si>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</si>
  <si>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</si>
  <si>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</si>
  <si>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</si>
  <si>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</si>
  <si>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</si>
  <si>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</si>
  <si>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</si>
  <si>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</si>
  <si>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</si>
  <si>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</si>
  <si>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</si>
  <si>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</si>
  <si>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</si>
  <si>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</si>
  <si>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</si>
  <si>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</si>
  <si>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</si>
  <si>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</si>
  <si>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</si>
  <si>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</si>
  <si>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</si>
  <si>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</si>
  <si>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</si>
  <si>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</si>
  <si>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</si>
  <si>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</si>
  <si>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</si>
  <si>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</si>
  <si>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</si>
  <si>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</si>
  <si>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</si>
  <si>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</si>
  <si>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</si>
  <si>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</si>
  <si>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</si>
  <si>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</si>
  <si>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</si>
  <si>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</si>
  <si>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</si>
  <si>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</si>
  <si>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</si>
  <si>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</si>
  <si>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</si>
  <si>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</si>
  <si>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</si>
  <si>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</si>
  <si>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</si>
  <si>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</si>
  <si>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</si>
  <si>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</si>
  <si>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</si>
  <si>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</si>
  <si>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</si>
  <si>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</si>
  <si>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</si>
  <si>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</si>
  <si>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</si>
  <si>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</si>
  <si>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</si>
  <si>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</si>
  <si>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</si>
  <si>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</si>
  <si>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</si>
  <si>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</si>
  <si>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</si>
  <si>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</si>
  <si>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</si>
  <si>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</si>
  <si>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</si>
  <si>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</si>
  <si>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</si>
  <si>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</si>
  <si>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</si>
  <si>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</si>
  <si>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</si>
  <si>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</si>
  <si>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</si>
  <si>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</si>
  <si>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</si>
  <si>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</si>
  <si>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</si>
  <si>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</si>
  <si>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</si>
  <si>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</si>
  <si>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</si>
  <si>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</si>
  <si>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</si>
  <si>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</si>
  <si>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</si>
  <si>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</si>
  <si>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</si>
  <si>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</si>
  <si>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</si>
  <si>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</si>
  <si>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</si>
  <si>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</si>
  <si>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</si>
  <si>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</si>
  <si>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</si>
  <si>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</si>
  <si>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</si>
  <si>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</si>
  <si>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</si>
  <si>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</si>
  <si>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</si>
  <si>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</si>
  <si>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</si>
  <si>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</si>
  <si>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</si>
  <si>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</si>
  <si>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</si>
  <si>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</si>
  <si>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</si>
  <si>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</si>
  <si>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</si>
  <si>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</si>
  <si>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</si>
  <si>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</si>
  <si>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</si>
  <si>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</si>
  <si>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</si>
  <si>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</si>
  <si>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</si>
  <si>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</si>
  <si>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</si>
  <si>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</si>
  <si>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</si>
  <si>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</si>
  <si>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</si>
  <si>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</si>
  <si>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</si>
  <si>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</si>
  <si>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</si>
  <si>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</si>
  <si>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</si>
  <si>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</si>
  <si>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</si>
  <si>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</si>
  <si>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</si>
  <si>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</si>
  <si>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</si>
  <si>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</si>
  <si>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</si>
  <si>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</si>
  <si>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</si>
  <si>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</si>
  <si>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</si>
  <si>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</si>
  <si>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</si>
  <si>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</si>
  <si>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</si>
  <si>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</si>
  <si>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</si>
  <si>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</si>
  <si>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</si>
  <si>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</si>
  <si>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</si>
  <si>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</si>
  <si>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</si>
  <si>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</si>
  <si>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ALL Materials</t>
  </si>
  <si>
    <t>TSC International, Ferrtie International, Pyroferric, TSC Bourgeois</t>
  </si>
  <si>
    <t>Bill Reichel</t>
  </si>
  <si>
    <t>billr@tscinternational.com</t>
  </si>
  <si>
    <t>847 240 4900</t>
  </si>
  <si>
    <t>Engineer</t>
  </si>
  <si>
    <t>847 249 4900</t>
  </si>
  <si>
    <t>We used RMAP certified suppliers.</t>
  </si>
  <si>
    <t>No we only purchase very high purity cobalt oxide in 5 gallon brand labeled cans produced by freeport for 25 years, which is certified 3rd part audited by RMAP. Should the need arise for an alternate source, we would choose another RMAP certified producer. Since we are purchasing a specific product, it is not necessary to survey the entire distributuion network.</t>
  </si>
  <si>
    <t>Ferrite Materials may have a special high puriity Cobalt Oxide dopants in  the range of 0- 1800 PPM Cobalt, grade dependent.</t>
  </si>
  <si>
    <t>We purchase one specific product that originates from Rmap certified source.</t>
  </si>
  <si>
    <t>We verify certificates of compliance and product containers to assure origin.</t>
  </si>
  <si>
    <t>http://www.tscinternational.com/assets/files/Cobalt-Policy.pdf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</si>
</sst>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49" fontId="0" fillId="0" borderId="0" xfId="0" applyNumberFormat="1" applyProtection="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editAs="oneCell">
    <xdr:from>
      <xdr:col>4</xdr:col>
      <xdr:colOff>133350</xdr:colOff>
      <xdr:row>2</xdr:row>
      <xdr:rowOff>152400</xdr:rowOff>
    </xdr:from>
    <xdr:to>
      <xdr:col>8</xdr:col>
      <xdr:colOff>838200</xdr:colOff>
      <xdr:row>2</xdr:row>
      <xdr:rowOff>890004</xdr:rowOff>
    </xdr:to>
    <xdr:pic>
      <xdr:nvPicPr>
        <xdr:cNvPr id="4" name="Picture 3">
          <a:extLst>
            <a:ext uri="{FF2B5EF4-FFF2-40B4-BE49-F238E27FC236}">
              <a16:creationId xmlns:a16="http://schemas.microsoft.com/office/drawing/2014/main" id="{F061C43D-C1C5-9104-5116-380DF19E1C7A}"/>
            </a:ext>
          </a:extLst>
        </xdr:cNvPr>
        <xdr:cNvPicPr>
          <a:picLocks noChangeAspect="1"/>
        </xdr:cNvPicPr>
      </xdr:nvPicPr>
      <xdr:blipFill rotWithShape="1">
        <a:blip xmlns:r="http://schemas.openxmlformats.org/officeDocument/2006/relationships" r:embed="rId2"/>
        <a:srcRect l="1593" t="35416" r="8456" b="50368"/>
        <a:stretch/>
      </xdr:blipFill>
      <xdr:spPr>
        <a:xfrm>
          <a:off x="8105775" y="1390650"/>
          <a:ext cx="4667250" cy="7376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illr@tscinternational.com" TargetMode="External"/><Relationship Id="rId1" Type="http://schemas.openxmlformats.org/officeDocument/2006/relationships/hyperlink" Target="mailto:billr@tscinternationa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25" workbookViewId="0">
      <selection activeCell="B3" sqref="B3"/>
    </sheetView>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D3CC1438-C2DC-4974-A557-091593C266FE}"/>
    </customSheetView>
    <customSheetView guid="{4BDF1A28-30D5-449D-B20E-D6C97EF9FAE1}" showAutoFilter="1">
      <selection activeCell="C1" sqref="C1:D65536"/>
      <pageMargins left="0" right="0" top="0" bottom="0" header="0" footer="0"/>
      <pageSetup orientation="portrait"/>
      <autoFilter ref="B1:C1" xr:uid="{FFB7F72B-F2E6-4C52-880A-98276A6E4763}"/>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9"/>
      <c r="B2" s="2" t="s">
        <v>1</v>
      </c>
      <c r="C2" s="3"/>
      <c r="D2" s="157"/>
      <c r="E2" s="3"/>
      <c r="F2" s="3"/>
      <c r="G2" s="25"/>
    </row>
    <row r="3" spans="1:7">
      <c r="A3" s="329"/>
      <c r="B3" s="3" t="s">
        <v>2</v>
      </c>
      <c r="C3" s="2"/>
      <c r="D3" s="158"/>
      <c r="E3" s="3"/>
      <c r="F3" s="2"/>
      <c r="G3" s="25"/>
    </row>
    <row r="4" spans="1:7" ht="15">
      <c r="A4" s="329"/>
      <c r="B4" s="195" t="s">
        <v>3</v>
      </c>
      <c r="C4" s="196"/>
      <c r="D4" s="197"/>
      <c r="E4" s="3"/>
      <c r="F4" s="196"/>
      <c r="G4" s="25"/>
    </row>
    <row r="5" spans="1:7">
      <c r="A5" s="329"/>
      <c r="B5" s="201" t="s">
        <v>4</v>
      </c>
      <c r="C5" s="198"/>
      <c r="D5" s="199"/>
      <c r="E5" s="3"/>
      <c r="F5" s="198"/>
      <c r="G5" s="25"/>
    </row>
    <row r="6" spans="1:7">
      <c r="A6" s="329"/>
      <c r="B6" s="3"/>
      <c r="C6" s="3"/>
      <c r="D6" s="157"/>
      <c r="E6" s="3"/>
      <c r="F6" s="3"/>
      <c r="G6" s="25"/>
    </row>
    <row r="7" spans="1:7">
      <c r="A7" s="329"/>
      <c r="B7" s="3"/>
      <c r="C7" s="3"/>
      <c r="D7" s="157"/>
      <c r="E7" s="3"/>
      <c r="F7" s="3"/>
      <c r="G7" s="25"/>
    </row>
    <row r="8" spans="1:7">
      <c r="A8" s="329"/>
      <c r="B8" s="3"/>
      <c r="C8" s="3"/>
      <c r="D8" s="157"/>
      <c r="E8" s="3"/>
      <c r="F8" s="3"/>
      <c r="G8" s="25"/>
    </row>
    <row r="9" spans="1:7" ht="20.100000000000001" customHeight="1">
      <c r="A9" s="329"/>
      <c r="B9" s="332" t="s">
        <v>5</v>
      </c>
      <c r="C9" s="332"/>
      <c r="D9" s="332"/>
      <c r="E9" s="332"/>
      <c r="F9" s="332"/>
      <c r="G9" s="25"/>
    </row>
    <row r="10" spans="1:7" ht="27" customHeight="1">
      <c r="A10" s="329"/>
      <c r="B10" s="333" t="s">
        <v>6</v>
      </c>
      <c r="C10" s="333"/>
      <c r="D10" s="333"/>
      <c r="E10" s="333"/>
      <c r="F10" s="333"/>
      <c r="G10" s="25"/>
    </row>
    <row r="11" spans="1:7" ht="82.5" customHeight="1">
      <c r="A11" s="329"/>
      <c r="B11" s="334"/>
      <c r="C11" s="334"/>
      <c r="D11" s="334"/>
      <c r="E11" s="334"/>
      <c r="F11" s="334"/>
      <c r="G11" s="25"/>
    </row>
    <row r="12" spans="1:7" ht="22.5">
      <c r="A12" s="329"/>
      <c r="B12" s="185" t="s">
        <v>7</v>
      </c>
      <c r="C12" s="186" t="s">
        <v>8</v>
      </c>
      <c r="D12" s="187" t="s">
        <v>9</v>
      </c>
      <c r="E12" s="186" t="s">
        <v>10</v>
      </c>
      <c r="F12" s="186" t="s">
        <v>11</v>
      </c>
      <c r="G12" s="25"/>
    </row>
    <row r="13" spans="1:7" ht="67.5">
      <c r="A13" s="329"/>
      <c r="B13" s="247">
        <v>1</v>
      </c>
      <c r="C13" s="248" t="s">
        <v>12</v>
      </c>
      <c r="D13" s="249">
        <v>44489</v>
      </c>
      <c r="E13" s="250" t="s">
        <v>13</v>
      </c>
      <c r="F13" s="251" t="s">
        <v>14</v>
      </c>
      <c r="G13" s="25"/>
    </row>
    <row r="14" spans="1:7" ht="67.5">
      <c r="A14" s="329"/>
      <c r="B14" s="247">
        <v>1.01</v>
      </c>
      <c r="C14" s="248" t="s">
        <v>12</v>
      </c>
      <c r="D14" s="249">
        <v>44523</v>
      </c>
      <c r="E14" s="248" t="s">
        <v>14424</v>
      </c>
      <c r="F14" s="251" t="s">
        <v>14</v>
      </c>
      <c r="G14" s="25"/>
    </row>
    <row r="15" spans="1:7" ht="67.5">
      <c r="A15" s="329"/>
      <c r="B15" s="247">
        <v>1.02</v>
      </c>
      <c r="C15" s="248" t="s">
        <v>12</v>
      </c>
      <c r="D15" s="249">
        <v>44553</v>
      </c>
      <c r="E15" s="248" t="s">
        <v>14429</v>
      </c>
      <c r="F15" s="251" t="s">
        <v>14</v>
      </c>
      <c r="G15" s="25"/>
    </row>
    <row r="16" spans="1:7" ht="13.5" thickBot="1">
      <c r="A16" s="330"/>
      <c r="B16" s="331" t="str">
        <f ca="1">OFFSET(L!$C$1,MATCH("General"&amp;"Cpy",L!$A:$A,0)-1,SL,,)</f>
        <v>© 2021 Responsible Minerals Initiative. All rights reserved.</v>
      </c>
      <c r="C16" s="331"/>
      <c r="D16" s="331"/>
      <c r="E16" s="331"/>
      <c r="F16" s="331"/>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15"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5"/>
      <c r="B1" s="336"/>
      <c r="C1" s="336"/>
      <c r="D1" s="337"/>
    </row>
    <row r="2" spans="1:8" ht="15">
      <c r="A2" s="188"/>
      <c r="B2" s="189" t="str">
        <f ca="1">OFFSET(L!$C$1,MATCH("Definitions"&amp;ADDRESS(ROW(),COLUMN(),4),L!$A:$A,0)-1,SL,,)</f>
        <v>ITEM</v>
      </c>
      <c r="C2" s="189" t="str">
        <f ca="1">OFFSET(L!$C$1,MATCH("Definitions"&amp;ADDRESS(ROW(),COLUMN(),4),L!$A:$A,0)-1,SL,,)</f>
        <v>DEFINITION</v>
      </c>
      <c r="D2" s="339"/>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9"/>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9"/>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9"/>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9"/>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9"/>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9"/>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9"/>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9"/>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9"/>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9"/>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9"/>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9"/>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9"/>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9"/>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9"/>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9"/>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9"/>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9"/>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9"/>
      <c r="E21" s="191"/>
    </row>
    <row r="22" spans="1:5" ht="15">
      <c r="A22" s="188"/>
      <c r="B22" s="338" t="str">
        <f ca="1">OFFSET(L!$C$1,MATCH("General"&amp;"Cpy",L!$A:$A,0)-1,SL,,)</f>
        <v>© 2021 Responsible Minerals Initiative. All rights reserved.</v>
      </c>
      <c r="C22" s="338"/>
      <c r="D22" s="339"/>
      <c r="E22" s="191"/>
    </row>
    <row r="23" spans="1:5" ht="13.5" thickBot="1">
      <c r="A23" s="192"/>
      <c r="B23" s="193"/>
      <c r="C23" s="193"/>
      <c r="D23" s="340"/>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Normal="100" workbookViewId="0">
      <selection activeCell="G73" sqref="G73:J7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80"/>
      <c r="B1" s="381"/>
      <c r="C1" s="381"/>
      <c r="D1" s="381"/>
      <c r="E1" s="381"/>
      <c r="F1" s="381"/>
      <c r="G1" s="381"/>
      <c r="H1" s="381"/>
      <c r="I1" s="381"/>
      <c r="J1" s="381"/>
      <c r="K1" s="382"/>
      <c r="L1" s="103"/>
      <c r="P1" s="3"/>
      <c r="Q1" s="3"/>
      <c r="R1" s="3"/>
      <c r="S1" s="3"/>
      <c r="T1" s="3"/>
      <c r="U1" s="3"/>
      <c r="V1" s="3"/>
      <c r="W1" s="3"/>
      <c r="X1" s="3"/>
      <c r="Y1" s="3"/>
      <c r="Z1" s="3"/>
      <c r="AA1" s="3"/>
      <c r="AB1" s="3"/>
      <c r="AC1" s="3"/>
      <c r="AD1" s="3"/>
      <c r="AE1" s="3"/>
      <c r="AF1" s="3"/>
      <c r="AG1" s="3"/>
      <c r="AH1" s="3"/>
    </row>
    <row r="2" spans="1:34" ht="81.75" customHeight="1">
      <c r="A2" s="28"/>
      <c r="B2" s="326"/>
      <c r="C2" s="29"/>
      <c r="D2" s="383" t="str">
        <f ca="1">OFFSET(L!$C$1,MATCH("Declaration"&amp;ADDRESS(ROW(),COLUMN(),4),L!$A:$A,0)-1,SL,,)</f>
        <v>Extended Mineral Reporting Template (EMRT)</v>
      </c>
      <c r="E2" s="384"/>
      <c r="F2" s="384"/>
      <c r="G2" s="384"/>
      <c r="H2" s="384"/>
      <c r="I2" s="384"/>
      <c r="J2" s="38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1"/>
      <c r="F3" s="402"/>
      <c r="G3" s="402"/>
      <c r="H3" s="402"/>
      <c r="I3" s="402"/>
      <c r="J3" s="202" t="s">
        <v>14430</v>
      </c>
      <c r="K3" s="30"/>
      <c r="L3" s="103"/>
      <c r="P3" s="39">
        <f>MATCH($D$3,LN,0)</f>
        <v>1</v>
      </c>
    </row>
    <row r="4" spans="1:34" ht="15.75">
      <c r="A4" s="28"/>
      <c r="B4" s="389" t="str">
        <f ca="1">OFFSET(L!$C$1,MATCH("Declaration"&amp;ADDRESS(ROW(),COLUMN(),4),L!$A:$A,0)-1,SL,,)</f>
        <v>The purpose of this document is to collect sourcing information on cobalt or natural mica.</v>
      </c>
      <c r="C4" s="389"/>
      <c r="D4" s="389"/>
      <c r="E4" s="389"/>
      <c r="F4" s="389"/>
      <c r="G4" s="389"/>
      <c r="H4" s="389"/>
      <c r="I4" s="393" t="str">
        <f ca="1">OFFSET(L!$C$1,MATCH("Declaration"&amp;ADDRESS(ROW(),COLUMN(),4),L!$A:$A,0)-1,SL,,)</f>
        <v>Link to Terms &amp; Conditions</v>
      </c>
      <c r="J4" s="39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9" t="str">
        <f ca="1">OFFSET(L!$C$1,MATCH("Declaration"&amp;ADDRESS(ROW(),COLUMN(),4),L!$A:$A,0)-1,SL,,)</f>
        <v>Mandatory fields are noted with an asterisk (*).  Consult the instructions tab for guidance on how to answer each question.</v>
      </c>
      <c r="C6" s="389"/>
      <c r="D6" s="389"/>
      <c r="E6" s="389"/>
      <c r="F6" s="389"/>
      <c r="G6" s="389"/>
      <c r="H6" s="389"/>
      <c r="I6" s="389"/>
      <c r="J6" s="389"/>
      <c r="K6" s="30"/>
      <c r="L6" s="105" t="s">
        <v>21</v>
      </c>
      <c r="P6" s="3"/>
      <c r="Q6" s="3"/>
      <c r="R6" s="3"/>
      <c r="S6" s="3"/>
      <c r="T6" s="3"/>
      <c r="U6" s="3"/>
      <c r="V6" s="3"/>
      <c r="W6" s="3"/>
      <c r="X6" s="3"/>
      <c r="Y6" s="3"/>
      <c r="Z6" s="3"/>
      <c r="AA6" s="3"/>
      <c r="AB6" s="3"/>
      <c r="AC6" s="3"/>
      <c r="AD6" s="3"/>
      <c r="AE6" s="3"/>
      <c r="AF6" s="3"/>
      <c r="AG6" s="3"/>
      <c r="AH6" s="3"/>
    </row>
    <row r="7" spans="1:34" ht="15.75">
      <c r="A7" s="28"/>
      <c r="B7" s="394" t="str">
        <f ca="1">OFFSET(L!$C$1,MATCH("Declaration"&amp;ADDRESS(ROW(),COLUMN(),4),L!$A:$A,0)-1,SL,,)</f>
        <v>Company Information</v>
      </c>
      <c r="C7" s="394"/>
      <c r="D7" s="394"/>
      <c r="E7" s="394"/>
      <c r="F7" s="394"/>
      <c r="G7" s="394"/>
      <c r="H7" s="394"/>
      <c r="I7" s="394"/>
      <c r="J7" s="39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6" t="s">
        <v>14433</v>
      </c>
      <c r="E8" s="387"/>
      <c r="F8" s="387"/>
      <c r="G8" s="387"/>
      <c r="H8" s="387"/>
      <c r="I8" s="387"/>
      <c r="J8" s="38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0" t="s">
        <v>22</v>
      </c>
      <c r="E9" s="371"/>
      <c r="F9" s="371"/>
      <c r="G9" s="372"/>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5" t="str">
        <f ca="1">OFFSET(L!$C$1,MATCH("Declaration"&amp;ADDRESS(ROW(),COLUMN(),4)&amp;LEFT($D$9,1),L!$A:$A,0)-1,SL,,)</f>
        <v>Description of Scope:</v>
      </c>
      <c r="C10" s="113"/>
      <c r="D10" s="390" t="s">
        <v>14432</v>
      </c>
      <c r="E10" s="391"/>
      <c r="F10" s="391"/>
      <c r="G10" s="391"/>
      <c r="H10" s="391"/>
      <c r="I10" s="391"/>
      <c r="J10" s="392"/>
      <c r="K10" s="30"/>
      <c r="L10" s="105"/>
      <c r="Q10" s="3"/>
      <c r="R10" s="3"/>
      <c r="S10" s="3"/>
      <c r="T10" s="3"/>
      <c r="U10" s="3"/>
      <c r="V10" s="3"/>
      <c r="W10" s="3"/>
      <c r="X10" s="3"/>
      <c r="Y10" s="3"/>
      <c r="Z10" s="3"/>
      <c r="AA10" s="3"/>
      <c r="AB10" s="3"/>
      <c r="AC10" s="3"/>
      <c r="AD10" s="3"/>
      <c r="AE10" s="3"/>
      <c r="AF10" s="3"/>
      <c r="AG10" s="3"/>
      <c r="AH10" s="3"/>
    </row>
    <row r="11" spans="1:34" ht="15.75">
      <c r="A11" s="32"/>
      <c r="B11" s="396"/>
      <c r="C11" s="113"/>
      <c r="D11" s="397" t="str">
        <f ca="1">IF(D9=Q9,OFFSET(L!$C$1,MATCH("Declaration"&amp;ADDRESS(ROW(),COLUMN(),4),L!$A:$A,0)-1,SL,,),"")</f>
        <v/>
      </c>
      <c r="E11" s="398"/>
      <c r="F11" s="398"/>
      <c r="G11" s="398"/>
      <c r="H11" s="398"/>
      <c r="I11" s="398"/>
      <c r="J11" s="39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6"/>
      <c r="E12" s="367"/>
      <c r="F12" s="367"/>
      <c r="G12" s="367"/>
      <c r="H12" s="367"/>
      <c r="I12" s="367"/>
      <c r="J12" s="36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6"/>
      <c r="E13" s="367"/>
      <c r="F13" s="367"/>
      <c r="G13" s="367"/>
      <c r="H13" s="367"/>
      <c r="I13" s="367"/>
      <c r="J13" s="36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6"/>
      <c r="E14" s="367"/>
      <c r="F14" s="367"/>
      <c r="G14" s="367"/>
      <c r="H14" s="367"/>
      <c r="I14" s="367"/>
      <c r="J14" s="36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6" t="s">
        <v>14434</v>
      </c>
      <c r="E15" s="367"/>
      <c r="F15" s="367"/>
      <c r="G15" s="367"/>
      <c r="H15" s="367"/>
      <c r="I15" s="367"/>
      <c r="J15" s="36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5" t="s">
        <v>14435</v>
      </c>
      <c r="E16" s="367"/>
      <c r="F16" s="367"/>
      <c r="G16" s="367"/>
      <c r="H16" s="367"/>
      <c r="I16" s="367"/>
      <c r="J16" s="36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6" t="s">
        <v>14436</v>
      </c>
      <c r="E17" s="367"/>
      <c r="F17" s="367"/>
      <c r="G17" s="367"/>
      <c r="H17" s="367"/>
      <c r="I17" s="367"/>
      <c r="J17" s="36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6" t="s">
        <v>14434</v>
      </c>
      <c r="E18" s="367"/>
      <c r="F18" s="367"/>
      <c r="G18" s="367"/>
      <c r="H18" s="367"/>
      <c r="I18" s="367"/>
      <c r="J18" s="36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6" t="s">
        <v>14437</v>
      </c>
      <c r="E19" s="367"/>
      <c r="F19" s="367"/>
      <c r="G19" s="367"/>
      <c r="H19" s="367"/>
      <c r="I19" s="367"/>
      <c r="J19" s="36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5" t="s">
        <v>14435</v>
      </c>
      <c r="E20" s="367"/>
      <c r="F20" s="367"/>
      <c r="G20" s="367"/>
      <c r="H20" s="367"/>
      <c r="I20" s="367"/>
      <c r="J20" s="36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6" t="s">
        <v>14438</v>
      </c>
      <c r="E21" s="367"/>
      <c r="F21" s="367"/>
      <c r="G21" s="367"/>
      <c r="H21" s="367"/>
      <c r="I21" s="367"/>
      <c r="J21" s="36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5">
        <v>44753</v>
      </c>
      <c r="E22" s="376"/>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9"/>
      <c r="E23" s="36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400" t="str">
        <f ca="1">OFFSET(L!$C$1,MATCH("Declaration"&amp;ADDRESS(ROW(),COLUMN(),4),L!$A:$A,0)-1,SL,,)</f>
        <v>Answer the following questions 1 - 7 based on the declaration scope indicated above</v>
      </c>
      <c r="C24" s="400"/>
      <c r="D24" s="400"/>
      <c r="E24" s="400"/>
      <c r="F24" s="400"/>
      <c r="G24" s="400"/>
      <c r="H24" s="400"/>
      <c r="I24" s="400"/>
      <c r="J24" s="40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3" t="str">
        <f ca="1">OFFSET(L!$C$1,MATCH("Declaration"&amp;ADDRESS(ROW(),COLUMN(),4),L!$A:$A,0)-1,SL,,)</f>
        <v>Answer</v>
      </c>
      <c r="E25" s="363"/>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1" t="s">
        <v>28</v>
      </c>
      <c r="E26" s="342"/>
      <c r="F26" s="9"/>
      <c r="G26" s="343" t="s">
        <v>14441</v>
      </c>
      <c r="H26" s="344"/>
      <c r="I26" s="344"/>
      <c r="J26" s="34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1" t="s">
        <v>25</v>
      </c>
      <c r="E27" s="342"/>
      <c r="F27" s="9"/>
      <c r="G27" s="343"/>
      <c r="H27" s="344"/>
      <c r="I27" s="344"/>
      <c r="J27" s="34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50" t="s">
        <v>25</v>
      </c>
      <c r="E28" s="351"/>
      <c r="F28" s="9"/>
      <c r="G28" s="343"/>
      <c r="H28" s="344"/>
      <c r="I28" s="344"/>
      <c r="J28" s="34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3" t="s">
        <v>25</v>
      </c>
      <c r="E29" s="374"/>
      <c r="F29" s="9"/>
      <c r="G29" s="343"/>
      <c r="H29" s="344"/>
      <c r="I29" s="344"/>
      <c r="J29" s="34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5" t="str">
        <f ca="1">D25</f>
        <v>Answer</v>
      </c>
      <c r="E31" s="365"/>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1" t="s">
        <v>28</v>
      </c>
      <c r="E32" s="342"/>
      <c r="F32" s="9"/>
      <c r="G32" s="343"/>
      <c r="H32" s="344"/>
      <c r="I32" s="344"/>
      <c r="J32" s="345"/>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1"/>
      <c r="E33" s="342"/>
      <c r="F33" s="9"/>
      <c r="G33" s="343"/>
      <c r="H33" s="344"/>
      <c r="I33" s="344"/>
      <c r="J33" s="345"/>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50" t="s">
        <v>25</v>
      </c>
      <c r="E34" s="351"/>
      <c r="F34" s="9"/>
      <c r="G34" s="343"/>
      <c r="H34" s="344"/>
      <c r="I34" s="344"/>
      <c r="J34" s="34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50" t="s">
        <v>25</v>
      </c>
      <c r="E35" s="351"/>
      <c r="F35" s="9"/>
      <c r="G35" s="343"/>
      <c r="H35" s="344"/>
      <c r="I35" s="344"/>
      <c r="J35" s="34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5" t="str">
        <f ca="1">D25</f>
        <v>Answer</v>
      </c>
      <c r="E37" s="365"/>
      <c r="F37" s="15"/>
      <c r="G37" s="38" t="str">
        <f ca="1">G25</f>
        <v>Comments</v>
      </c>
      <c r="H37" s="379"/>
      <c r="I37" s="379"/>
      <c r="J37" s="379"/>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1" t="s">
        <v>29</v>
      </c>
      <c r="E38" s="342"/>
      <c r="F38" s="41"/>
      <c r="G38" s="343"/>
      <c r="H38" s="344"/>
      <c r="I38" s="344"/>
      <c r="J38" s="34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1"/>
      <c r="E39" s="342"/>
      <c r="F39" s="41"/>
      <c r="G39" s="343"/>
      <c r="H39" s="344"/>
      <c r="I39" s="344"/>
      <c r="J39" s="34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1"/>
      <c r="E40" s="342"/>
      <c r="F40" s="41"/>
      <c r="G40" s="343"/>
      <c r="H40" s="344"/>
      <c r="I40" s="344"/>
      <c r="J40" s="34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1"/>
      <c r="E41" s="342"/>
      <c r="F41" s="41"/>
      <c r="G41" s="343"/>
      <c r="H41" s="344"/>
      <c r="I41" s="344"/>
      <c r="J41" s="34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5" t="str">
        <f ca="1">D25</f>
        <v>Answer</v>
      </c>
      <c r="E43" s="365"/>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1" t="s">
        <v>29</v>
      </c>
      <c r="E44" s="342"/>
      <c r="F44" s="41"/>
      <c r="G44" s="343"/>
      <c r="H44" s="344"/>
      <c r="I44" s="344"/>
      <c r="J44" s="34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1"/>
      <c r="E45" s="342"/>
      <c r="F45" s="41"/>
      <c r="G45" s="343"/>
      <c r="H45" s="344"/>
      <c r="I45" s="344"/>
      <c r="J45" s="34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50"/>
      <c r="E46" s="351"/>
      <c r="F46" s="41"/>
      <c r="G46" s="343"/>
      <c r="H46" s="344"/>
      <c r="I46" s="344"/>
      <c r="J46" s="34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50"/>
      <c r="E47" s="351"/>
      <c r="F47" s="41"/>
      <c r="G47" s="343"/>
      <c r="H47" s="344"/>
      <c r="I47" s="344"/>
      <c r="J47" s="34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5" t="str">
        <f ca="1">D25</f>
        <v>Answer</v>
      </c>
      <c r="E49" s="365"/>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3" t="s">
        <v>36</v>
      </c>
      <c r="E50" s="404"/>
      <c r="F50" s="41"/>
      <c r="G50" s="343"/>
      <c r="H50" s="344"/>
      <c r="I50" s="344"/>
      <c r="J50" s="34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3"/>
      <c r="E51" s="404"/>
      <c r="F51" s="41"/>
      <c r="G51" s="343"/>
      <c r="H51" s="344"/>
      <c r="I51" s="344"/>
      <c r="J51" s="34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7"/>
      <c r="E52" s="378"/>
      <c r="F52" s="41"/>
      <c r="G52" s="343"/>
      <c r="H52" s="344"/>
      <c r="I52" s="344"/>
      <c r="J52" s="34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7"/>
      <c r="E53" s="378"/>
      <c r="F53" s="41"/>
      <c r="G53" s="343"/>
      <c r="H53" s="344"/>
      <c r="I53" s="344"/>
      <c r="J53" s="34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5" t="str">
        <f ca="1">D25</f>
        <v>Answer</v>
      </c>
      <c r="E55" s="365"/>
      <c r="F55" s="15"/>
      <c r="G55" s="38" t="str">
        <f ca="1">G25</f>
        <v>Comments</v>
      </c>
      <c r="H55" s="364"/>
      <c r="I55" s="364"/>
      <c r="J55" s="364"/>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1" t="s">
        <v>28</v>
      </c>
      <c r="E56" s="362"/>
      <c r="F56" s="41"/>
      <c r="G56" s="343"/>
      <c r="H56" s="344"/>
      <c r="I56" s="344"/>
      <c r="J56" s="34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1"/>
      <c r="E57" s="342"/>
      <c r="F57" s="41"/>
      <c r="G57" s="343"/>
      <c r="H57" s="344"/>
      <c r="I57" s="344"/>
      <c r="J57" s="34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50"/>
      <c r="E58" s="351"/>
      <c r="F58" s="41"/>
      <c r="G58" s="343"/>
      <c r="H58" s="344"/>
      <c r="I58" s="344"/>
      <c r="J58" s="34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50"/>
      <c r="E59" s="351"/>
      <c r="F59" s="41"/>
      <c r="G59" s="343"/>
      <c r="H59" s="344"/>
      <c r="I59" s="344"/>
      <c r="J59" s="34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5" t="str">
        <f ca="1">D25</f>
        <v>Answer</v>
      </c>
      <c r="E61" s="365"/>
      <c r="F61" s="15"/>
      <c r="G61" s="38" t="str">
        <f ca="1">G25</f>
        <v>Comments</v>
      </c>
      <c r="H61" s="364" t="str">
        <f>IF(Q69="(*)","Click here to enter smelter names","")</f>
        <v/>
      </c>
      <c r="I61" s="364"/>
      <c r="J61" s="364"/>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1" t="s">
        <v>28</v>
      </c>
      <c r="E62" s="342"/>
      <c r="F62" s="42"/>
      <c r="G62" s="343"/>
      <c r="H62" s="344"/>
      <c r="I62" s="344"/>
      <c r="J62" s="34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1"/>
      <c r="E63" s="342"/>
      <c r="F63" s="42"/>
      <c r="G63" s="343"/>
      <c r="H63" s="344"/>
      <c r="I63" s="344"/>
      <c r="J63" s="34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50"/>
      <c r="E64" s="351"/>
      <c r="F64" s="42"/>
      <c r="G64" s="343"/>
      <c r="H64" s="344"/>
      <c r="I64" s="344"/>
      <c r="J64" s="34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50"/>
      <c r="E65" s="351"/>
      <c r="F65" s="44"/>
      <c r="G65" s="343"/>
      <c r="H65" s="344"/>
      <c r="I65" s="344"/>
      <c r="J65" s="34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2" t="str">
        <f ca="1">OFFSET(L!$C$1,MATCH("Declaration"&amp;ADDRESS(ROW(),COLUMN(),4),L!$A:$A,0)-1,SL,,)</f>
        <v>Answer the Following Questions at a Company Level</v>
      </c>
      <c r="C67" s="352"/>
      <c r="D67" s="352"/>
      <c r="E67" s="352"/>
      <c r="F67" s="352"/>
      <c r="G67" s="352"/>
      <c r="H67" s="352"/>
      <c r="I67" s="352"/>
      <c r="J67" s="35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3" t="str">
        <f ca="1">D25</f>
        <v>Answer</v>
      </c>
      <c r="E68" s="363"/>
      <c r="F68" s="47"/>
      <c r="G68" s="363" t="str">
        <f ca="1">G25</f>
        <v>Comments</v>
      </c>
      <c r="H68" s="363" t="e">
        <f>HLOOKUP(SL,LT,$O68,0)</f>
        <v>#NAME?</v>
      </c>
      <c r="I68" s="36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1" t="s">
        <v>28</v>
      </c>
      <c r="E69" s="342"/>
      <c r="F69" s="51"/>
      <c r="G69" s="343" t="s">
        <v>14439</v>
      </c>
      <c r="H69" s="344"/>
      <c r="I69" s="344"/>
      <c r="J69" s="345"/>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5"/>
      <c r="H70" s="355"/>
      <c r="I70" s="355"/>
      <c r="J70" s="35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1" t="s">
        <v>28</v>
      </c>
      <c r="E71" s="342"/>
      <c r="F71" s="51"/>
      <c r="G71" s="357" t="s">
        <v>14444</v>
      </c>
      <c r="H71" s="358"/>
      <c r="I71" s="358"/>
      <c r="J71" s="359"/>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9"/>
      <c r="E73" s="349"/>
      <c r="F73" s="258"/>
      <c r="G73" s="360"/>
      <c r="H73" s="360"/>
      <c r="I73" s="360"/>
      <c r="J73" s="360"/>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1" t="s">
        <v>28</v>
      </c>
      <c r="E74" s="342"/>
      <c r="F74" s="9"/>
      <c r="G74" s="343" t="s">
        <v>14442</v>
      </c>
      <c r="H74" s="344"/>
      <c r="I74" s="344"/>
      <c r="J74" s="34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1"/>
      <c r="E75" s="342"/>
      <c r="F75" s="9"/>
      <c r="G75" s="343"/>
      <c r="H75" s="344"/>
      <c r="I75" s="344"/>
      <c r="J75" s="34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1" t="s">
        <v>28</v>
      </c>
      <c r="E77" s="342"/>
      <c r="F77" s="51"/>
      <c r="G77" s="343"/>
      <c r="H77" s="344"/>
      <c r="I77" s="344"/>
      <c r="J77" s="345"/>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3" t="s">
        <v>25</v>
      </c>
      <c r="E79" s="354"/>
      <c r="F79" s="51"/>
      <c r="G79" s="343" t="s">
        <v>14440</v>
      </c>
      <c r="H79" s="344"/>
      <c r="I79" s="344"/>
      <c r="J79" s="345"/>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5"/>
      <c r="H80" s="355"/>
      <c r="I80" s="355"/>
      <c r="J80" s="35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1" t="s">
        <v>28</v>
      </c>
      <c r="E81" s="342"/>
      <c r="F81" s="51"/>
      <c r="G81" s="343" t="s">
        <v>14443</v>
      </c>
      <c r="H81" s="344"/>
      <c r="I81" s="344"/>
      <c r="J81" s="345"/>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6"/>
      <c r="H82" s="356"/>
      <c r="I82" s="356"/>
      <c r="J82" s="35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1" t="s">
        <v>28</v>
      </c>
      <c r="E83" s="342"/>
      <c r="F83" s="51"/>
      <c r="G83" s="343"/>
      <c r="H83" s="344"/>
      <c r="I83" s="344"/>
      <c r="J83" s="345"/>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8" t="str">
        <f>IF(OR($D$8="",$I$3=""),"","Click here to check required fields completion")</f>
        <v/>
      </c>
      <c r="C84" s="348"/>
      <c r="D84" s="348"/>
      <c r="E84" s="348"/>
      <c r="F84" s="348"/>
      <c r="G84" s="348"/>
      <c r="H84" s="348"/>
      <c r="I84" s="348"/>
      <c r="J84" s="348"/>
      <c r="K84" s="30"/>
      <c r="L84" s="103"/>
      <c r="P84" s="3"/>
      <c r="Q84" s="3"/>
      <c r="R84" s="3"/>
      <c r="S84" s="3"/>
      <c r="T84" s="3"/>
      <c r="U84" s="3"/>
      <c r="V84" s="3"/>
      <c r="W84" s="3"/>
      <c r="X84" s="3"/>
      <c r="Y84" s="3">
        <v>86</v>
      </c>
      <c r="Z84" s="3"/>
      <c r="AA84" s="3"/>
      <c r="AB84" s="3"/>
      <c r="AC84" s="3"/>
      <c r="AD84" s="3"/>
      <c r="AE84" s="3"/>
      <c r="AF84" s="3"/>
      <c r="AG84" s="3"/>
      <c r="AH84" s="3"/>
    </row>
    <row r="85" spans="1:34" ht="15.75" thickBot="1">
      <c r="A85" s="346" t="str">
        <f ca="1">OFFSET(L!$C$1,MATCH("General"&amp;"Cpy",L!$A:$A,0)-1,SL,,)</f>
        <v>© 2021 Responsible Minerals Initiative. All rights reserved.</v>
      </c>
      <c r="B85" s="347"/>
      <c r="C85" s="347"/>
      <c r="D85" s="347"/>
      <c r="E85" s="347"/>
      <c r="F85" s="347"/>
      <c r="G85" s="347"/>
      <c r="H85" s="347"/>
      <c r="I85" s="347"/>
      <c r="J85" s="34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E5EFCFDA-7B35-4CA1-A6D7-1A792A970E62}"/>
    <hyperlink ref="D20" r:id="rId2" xr:uid="{F33D6BBD-AC24-4A07-9A7B-F02C6924A659}"/>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D7" sqref="D7"/>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6" t="s">
        <v>45</v>
      </c>
      <c r="K2" s="407"/>
      <c r="L2" s="407"/>
      <c r="M2" s="407"/>
      <c r="N2" s="407"/>
      <c r="O2" s="407"/>
      <c r="P2" s="174"/>
      <c r="Q2" s="175"/>
      <c r="R2" s="176"/>
      <c r="S2" s="176"/>
      <c r="T2" s="176"/>
      <c r="AH2" s="132" t="s">
        <v>28</v>
      </c>
    </row>
    <row r="3" spans="1:34" s="17" customFormat="1" ht="240.6" customHeight="1">
      <c r="A3" s="219"/>
      <c r="B3" s="40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8"/>
      <c r="D3" s="408"/>
      <c r="E3" s="408"/>
      <c r="F3" s="177"/>
      <c r="G3" s="409" t="str">
        <f ca="1">OFFSET(L!$C$1,MATCH("General"&amp;"Cpy",L!$A:$A,0)-1,SL,,)</f>
        <v>© 2021 Responsible Minerals Initiative. All rights reserved.</v>
      </c>
      <c r="H3" s="409"/>
      <c r="I3" s="410"/>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5.5">
      <c r="A5" s="328" t="s">
        <v>113</v>
      </c>
      <c r="B5" s="160" t="s">
        <v>46</v>
      </c>
      <c r="C5" s="163" t="str">
        <f ca="1">IF(LEN(A5)=0,"",INDEX('Smelter Look-up'!$C:$C,MATCH($A5,'Smelter Look-up'!$E:$E,0)))</f>
        <v>Umicore Finland Oy</v>
      </c>
      <c r="D5" s="160"/>
      <c r="E5" s="160" t="s">
        <v>112</v>
      </c>
      <c r="F5" s="160" t="str">
        <f ca="1">IF(ISERROR($V5),"",OFFSET('Smelter Look-up'!$E$4,$V5-4,0))</f>
        <v>CID003226</v>
      </c>
      <c r="G5" s="160" t="str">
        <f ca="1">IF(C5=$X$4,"Enter smelter details",IF(ISERROR($V5),"",OFFSET('Smelter Look-up'!$F$4,$V5-4,0)))</f>
        <v>RMI</v>
      </c>
      <c r="H5" s="225">
        <f ca="1">IF(ISERROR($V5),"",OFFSET('Smelter Look-up'!$G$4,$V5-4,0))</f>
        <v>0</v>
      </c>
      <c r="I5" s="226" t="str">
        <f ca="1">IF(ISERROR($V5),"",OFFSET('Smelter Look-up'!$H$4,$V5-4,0))</f>
        <v>Kokkola</v>
      </c>
      <c r="J5" s="226" t="str">
        <f ca="1">IF(ISERROR($V5),"",OFFSET('Smelter Look-up'!$I$4,$V5-4,0))</f>
        <v>Mellersta Österbotten</v>
      </c>
      <c r="K5" s="161"/>
      <c r="L5" s="161"/>
      <c r="M5" s="161"/>
      <c r="N5" s="161"/>
      <c r="O5" s="161"/>
      <c r="P5" s="228"/>
      <c r="Q5" s="162"/>
      <c r="R5" s="160" t="str">
        <f ca="1">IF(ISERROR($V5),"",OFFSET('Smelter Look-up'!$C$4,$V5-4,0)&amp;"")</f>
        <v>Umicore Finland Oy</v>
      </c>
      <c r="S5" s="166" t="str">
        <f t="shared" ref="S5:S63" ca="1" si="0">IF(B5="","",IF(ISERROR(MATCH($E5,CL,0)),"Unknown",INDIRECT("'C'!$A$"&amp;MATCH($E5,CL,0)+1)))</f>
        <v>FI</v>
      </c>
      <c r="T5" s="166" t="str">
        <f ca="1">IF(B5="","",IF(ISERROR(MATCH($J5,SorP!$B$1:$B$6205,0)),"",INDIRECT("'SorP'!$A$"&amp;MATCH($J5,SorP!$B$1:$B$6205,0))))</f>
        <v>FI-07</v>
      </c>
      <c r="U5" s="180"/>
      <c r="V5" s="181">
        <f ca="1">IF(C5="",NA(),MATCH($B5&amp;$C5,'Smelter Look-up'!$J:$J,0))</f>
        <v>90</v>
      </c>
      <c r="X5" s="182">
        <f t="shared" ref="X5:X62" ca="1" si="1">IF(AND(C5="Smelter not listed",OR(LEN(D5)=0,LEN(E5)=0)),1,0)</f>
        <v>0</v>
      </c>
      <c r="AB5" s="182" t="str">
        <f t="shared" ref="AB5:AB62" ca="1" si="2">B5&amp;C5</f>
        <v>CobaltUmicore Finland Oy</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7"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1" t="str">
        <f ca="1">OFFSET(L!$C$1,MATCH("Checker"&amp;ADDRESS(ROW(),COLUMN(),4),L!$A:$A,0)-1,SL,,)</f>
        <v>To ensure all required fields have been populated before submitting to your customers review form for any line items highlighted in red</v>
      </c>
      <c r="B1" s="411"/>
      <c r="C1" s="411"/>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 ca="1">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TSC International, Ferrtie International, Pyroferric, TSC Bourgeois</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ALL Materials</v>
      </c>
      <c r="C6" s="80" t="str">
        <f t="shared" ca="1" si="0"/>
        <v>Complete</v>
      </c>
      <c r="D6" s="86" t="str">
        <f>IF(H6=1,"Click here to provide a Description of Scope","")</f>
        <v/>
      </c>
      <c r="E6" s="17" t="s">
        <v>17</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Bill Reichel</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billr@tscinternational.com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847 240 4900</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Bill Reichel</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billr@tscinternational.com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847 249 4900</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44753</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Unknown</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Unknown</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t="str">
        <f>Declaration!D50</f>
        <v>None</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t="str">
        <f>Declaration!G69</f>
        <v>We used RMAP certified suppliers.</v>
      </c>
      <c r="C49" s="80" t="str">
        <f ca="1">IF(H49=1,J49,I49)</f>
        <v>Complete</v>
      </c>
      <c r="D49" s="86" t="str">
        <f>IF(H49=1,"Click here to specify URL for question (A)","")</f>
        <v/>
      </c>
      <c r="E49" s="17"/>
      <c r="F49" s="85"/>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http://www.tscinternational.com/assets/files/Cobalt-Policy.pdf</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 ca="1">IF(H61=0,"","Click here to provide smelter information")</f>
        <v/>
      </c>
      <c r="E61" s="17" t="s">
        <v>17</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 ca="1">IF(H62=0,"","Click here to provide smelter information")</f>
        <v/>
      </c>
      <c r="E62" s="17" t="s">
        <v>17</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 ca="1">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 ca="1">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 ca="1">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3" t="str">
        <f ca="1">OFFSET(L!$C$1,MATCH("Product List"&amp;ADDRESS(ROW(),COLUMN(),4),L!$A:$A,0)-1,SL,,)</f>
        <v>Completion required only if reporting level "Product (or List of Products)" selected on the 'Declaration' worksheet.</v>
      </c>
      <c r="B1" s="414"/>
      <c r="C1" s="414"/>
      <c r="D1" s="414"/>
      <c r="E1" s="108"/>
    </row>
    <row r="2" spans="1:35">
      <c r="A2" s="20"/>
      <c r="B2" s="110"/>
      <c r="C2" s="110"/>
      <c r="D2"/>
      <c r="E2" s="21"/>
    </row>
    <row r="3" spans="1:35">
      <c r="A3" s="20"/>
      <c r="B3" s="110"/>
      <c r="C3" s="110"/>
      <c r="D3" s="110"/>
      <c r="E3" s="21"/>
    </row>
    <row r="4" spans="1:35" ht="15.75" customHeight="1">
      <c r="A4" s="20"/>
      <c r="B4" s="412" t="s">
        <v>53</v>
      </c>
      <c r="C4" s="412"/>
      <c r="D4" s="41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5" t="str">
        <f ca="1">OFFSET(L!$C$1,MATCH("General"&amp;"Cpy",L!$A:$A,0)-1,SL,,)</f>
        <v>© 2021 Responsible Minerals Initiative. All rights reserved.</v>
      </c>
      <c r="C1001" s="415"/>
      <c r="D1001" s="415"/>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B17" sqref="B17"/>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6"/>
      <c r="C1" s="416"/>
      <c r="D1" s="416"/>
      <c r="E1" s="416"/>
      <c r="F1" s="416"/>
      <c r="G1" s="416"/>
    </row>
    <row r="2" spans="1:13">
      <c r="A2" s="417"/>
      <c r="B2" s="417"/>
      <c r="C2" s="417"/>
      <c r="D2" s="417"/>
      <c r="E2" s="417"/>
      <c r="F2" s="417"/>
      <c r="G2" s="417"/>
      <c r="H2" s="417"/>
      <c r="I2" s="417"/>
    </row>
    <row r="3" spans="1:13">
      <c r="A3" s="417"/>
      <c r="B3" s="417"/>
      <c r="C3" s="417"/>
      <c r="D3" s="417"/>
      <c r="E3" s="417"/>
      <c r="F3" s="417"/>
      <c r="G3" s="417"/>
      <c r="H3" s="417"/>
      <c r="I3" s="417"/>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5">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833BD895-C06A-438C-8111-9B0E46A13BBA}"/>
    </customSheetView>
    <customSheetView guid="{4BDF1A28-30D5-449D-B20E-D6C97EF9FAE1}" showAutoFilter="1">
      <selection activeCell="C174" sqref="C174"/>
      <pageMargins left="0" right="0" top="0" bottom="0" header="0" footer="0"/>
      <pageSetup paperSize="9" orientation="portrait"/>
      <autoFilter ref="B1:N1" xr:uid="{8C60126C-AD76-499A-B232-7B66C8AA08F9}"/>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Bill R</cp:lastModifiedBy>
  <cp:revision/>
  <dcterms:created xsi:type="dcterms:W3CDTF">2010-06-21T21:00:23Z</dcterms:created>
  <dcterms:modified xsi:type="dcterms:W3CDTF">2022-12-05T21:25:51Z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